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DieseArbeitsmappe"/>
  <mc:AlternateContent xmlns:mc="http://schemas.openxmlformats.org/markup-compatibility/2006">
    <mc:Choice Requires="x15">
      <x15ac:absPath xmlns:x15ac="http://schemas.microsoft.com/office/spreadsheetml/2010/11/ac" url="https://fokuse.sharepoint.com/sites/fokus-egmbh/Freigegebene Dokumente/General/20_QMH/23_QMH-Entwicklungsprojekte/2016_BFE_QMH_Wirtschaftlichkeitsrechnung/3_Resultate/Version6/"/>
    </mc:Choice>
  </mc:AlternateContent>
  <xr:revisionPtr revIDLastSave="63" documentId="13_ncr:1_{138F8083-118C-4FEB-BE3D-E6A796B1E377}" xr6:coauthVersionLast="47" xr6:coauthVersionMax="47" xr10:uidLastSave="{44C5D63F-B8E4-4768-994D-5BAC6102C037}"/>
  <bookViews>
    <workbookView xWindow="28680" yWindow="-300" windowWidth="29040" windowHeight="17520" xr2:uid="{4D9C8545-2819-4B31-9DA7-5354723C94AE}"/>
  </bookViews>
  <sheets>
    <sheet name="I1_Explications" sheetId="4" r:id="rId1"/>
    <sheet name="E1_Données de projet" sheetId="9" r:id="rId2"/>
    <sheet name="E2_Prix de la chaleur" sheetId="6" r:id="rId3"/>
    <sheet name="E3_Consommateurs" sheetId="15" r:id="rId4"/>
    <sheet name="B1_Calculs" sheetId="8" r:id="rId5"/>
    <sheet name="A1_Résultats" sheetId="16" r:id="rId6"/>
    <sheet name="A2_Compte de résultat prévision" sheetId="20" r:id="rId7"/>
    <sheet name="A2_Données VAN" sheetId="14" r:id="rId8"/>
  </sheets>
  <definedNames>
    <definedName name="Anteil_fossil_erzeugt">'E1_Données de projet'!$D$32</definedName>
    <definedName name="Anteil_Invest_E1">'E1_Données de projet'!$F$83</definedName>
    <definedName name="Anteil_InvestTotal_E1">'E1_Données de projet'!$I$83</definedName>
    <definedName name="Anteil_InvestTotal_E2">'E1_Données de projet'!$I$84</definedName>
    <definedName name="Anteil_InvestTotal_E3">'E1_Données de projet'!$I$85</definedName>
    <definedName name="Anteil_InvestTotal_E4">'E1_Données de projet'!$I$86</definedName>
    <definedName name="Anteil_InvestTotal_E5">'E1_Données de projet'!$I$87</definedName>
    <definedName name="BetriebskostenTotal">B1_Calculs!$F$15</definedName>
    <definedName name="BrennstoffkostenBiomasse">B1_Calculs!$F$16</definedName>
    <definedName name="_xlnm.Print_Area" localSheetId="5">A1_Résultats!$B$1:$M$60</definedName>
    <definedName name="_xlnm.Print_Area" localSheetId="6">'A2_Compte de résultat prévision'!$B$1:$AC$44</definedName>
    <definedName name="_xlnm.Print_Area" localSheetId="7">'A2_Données VAN'!$B:$V</definedName>
    <definedName name="_xlnm.Print_Area" localSheetId="4">B1_Calculs!$B$1:$AS$68</definedName>
    <definedName name="_xlnm.Print_Area" localSheetId="1">'E1_Données de projet'!$B$1:$R$164</definedName>
    <definedName name="_xlnm.Print_Area" localSheetId="2">'E2_Prix de la chaleur'!$B$1:$I$49</definedName>
    <definedName name="_xlnm.Print_Area" localSheetId="3">E3_Consommateurs!$B$1:$GB$30</definedName>
    <definedName name="_xlnm.Print_Titles" localSheetId="1">'E1_Données de projet'!$1:$2</definedName>
    <definedName name="_xlnm.Print_Titles" localSheetId="3">E3_Consommateurs!$B:$C</definedName>
    <definedName name="_xlnm.Print_Titles" localSheetId="0">I1_Explications!$3:$3</definedName>
    <definedName name="Eigenverbrauch_HE">'E1_Données de projet'!$D$133</definedName>
    <definedName name="Eigenverbrauch_WP">'E1_Données de projet'!$D$132</definedName>
    <definedName name="Eing_Abnehmerart1">'E2_Prix de la chaleur'!$D$14</definedName>
    <definedName name="Eing_Abnehmerart2">'E2_Prix de la chaleur'!$D$20</definedName>
    <definedName name="Eing_Abnehmerart3">'E2_Prix de la chaleur'!$D$26</definedName>
    <definedName name="Eing_Abnehmerart4">'E2_Prix de la chaleur'!$D$32</definedName>
    <definedName name="Eing_Abnehmerart5">'E2_Prix de la chaleur'!$D$38</definedName>
    <definedName name="Eing_Abnehmerart6">'E2_Prix de la chaleur'!$D$44</definedName>
    <definedName name="Eing_AbnW">'E1_Données de projet'!$D$20</definedName>
    <definedName name="Eing_Administration">'E1_Données de projet'!$D$55</definedName>
    <definedName name="Eing_allg_Teuerung">'E1_Données de projet'!$D$61</definedName>
    <definedName name="Eing_Anteil_AWN">'E1_Données de projet'!$D$31</definedName>
    <definedName name="Eing_Anteil_Biomasse">'E1_Données de projet'!$D$26</definedName>
    <definedName name="Eing_Anteil_Invest_E2">'E1_Données de projet'!$F$84</definedName>
    <definedName name="Eing_Anteil_Invest_E3">'E1_Données de projet'!$F$85</definedName>
    <definedName name="Eing_Anteil_Invest_E4">'E1_Données de projet'!$F$86</definedName>
    <definedName name="Eing_Anteil_Invest_E5">'E1_Données de projet'!$F$87</definedName>
    <definedName name="Eing_Anteil_Kondensation">'E1_Données de projet'!$D$27</definedName>
    <definedName name="Eing_Anteil_WKK">'E1_Données de projet'!$D$28</definedName>
    <definedName name="Eing_Anteil_WP">'E1_Données de projet'!$D$29</definedName>
    <definedName name="Eing_Anteil_Zusatz">'E1_Données de projet'!$D$30</definedName>
    <definedName name="Eing_AnteilEigen_Hilfsenergie">'E1_Données de projet'!$D$40</definedName>
    <definedName name="Eing_AnteilEigen_WP">'E1_Données de projet'!$D$38</definedName>
    <definedName name="Eing_Arbeitspreis1">'E2_Prix de la chaleur'!$G$16</definedName>
    <definedName name="Eing_Arbeitspreis2">'E2_Prix de la chaleur'!$G$22</definedName>
    <definedName name="Eing_Arbeitspreis3">'E2_Prix de la chaleur'!$G$28</definedName>
    <definedName name="Eing_Arbeitspreis4">'E2_Prix de la chaleur'!$G$34</definedName>
    <definedName name="Eing_Arbeitspreis5">'E2_Prix de la chaleur'!$G$40</definedName>
    <definedName name="Eing_Arbeitspreis6">'E2_Prix de la chaleur'!$G$46</definedName>
    <definedName name="Eing_Beginnjahr">'E1_Données de projet'!$D$22</definedName>
    <definedName name="Eing_Betriebskosten">'E1_Données de projet'!$D$56</definedName>
    <definedName name="Eing_Brennstoffpreis_WKK">'E1_Données de projet'!$D$45</definedName>
    <definedName name="Eing_Eigenkapital">'E1_Données de projet'!$D$89</definedName>
    <definedName name="Eing_Erstauszahlung_jährlFörderung_1">'E1_Données de projet'!$D$117</definedName>
    <definedName name="Eing_Erstauszahlung_jährlFörderung_2">'E1_Données de projet'!$D$120</definedName>
    <definedName name="Eing_Förderung_wiederholend_Laufzeit">'E1_Données de projet'!$D$82</definedName>
    <definedName name="Eing_Förderung_wiederholend_Laufzeit_1">'E1_Données de projet'!$D$116</definedName>
    <definedName name="Eing_Förderung_wiederholend_Laufzeit_2">'E1_Données de projet'!$D$119</definedName>
    <definedName name="Eing_Invest_AWN">'E1_Données de projet'!$D$74</definedName>
    <definedName name="Eing_Invest_Grundstück">'E1_Données de projet'!$D$68</definedName>
    <definedName name="Eing_Invest_Hausstationen">'E1_Données de projet'!$D$79</definedName>
    <definedName name="Eing_Invest_HolzAnlage">'E1_Données de projet'!$D$69</definedName>
    <definedName name="Eing_Invest_Installationen">'E1_Données de projet'!$D$76</definedName>
    <definedName name="Eing_Invest_Messung">'E1_Données de projet'!$D$78</definedName>
    <definedName name="Eing_Invest_SondenGrundwasser">'E1_Données de projet'!$D$72</definedName>
    <definedName name="Eing_Invest_Spitzenlast">'E1_Données de projet'!$D$75</definedName>
    <definedName name="Eing_Invest_Wärmenetz">'E1_Données de projet'!$D$77</definedName>
    <definedName name="Eing_Invest_WKKAnlage">'E1_Données de projet'!$D$70</definedName>
    <definedName name="Eing_Invest_WPAnlage">'E1_Données de projet'!$D$71</definedName>
    <definedName name="Eing_Invest_Zusatz">'E1_Données de projet'!$D$73</definedName>
    <definedName name="Eing_JahrBegWLief">'E1_Données de projet'!$D$23</definedName>
    <definedName name="Eing_Jahresnutzungsgrad_Kessel">'E1_Données de projet'!$D$37</definedName>
    <definedName name="Eing_Jahresnutzungsgrad_WKKel">'E1_Données de projet'!$D$34</definedName>
    <definedName name="Eing_Jahresnutzungsgrad_WKKtherm">'E1_Données de projet'!$D$33</definedName>
    <definedName name="Eing_Jahresnutzungsgrad_Zusatz">'E1_Données de projet'!$D$35</definedName>
    <definedName name="Eing_jährlicher_Förderbeitrag_1">'E1_Données de projet'!$D$115</definedName>
    <definedName name="Eing_jährlicher_Förderbeitrag_2">'E1_Données de projet'!$D$118</definedName>
    <definedName name="Eing_JAZ_WP">'E1_Données de projet'!$D$36</definedName>
    <definedName name="Eing_Kosten_Bau">'E1_Données de projet'!$D$68</definedName>
    <definedName name="Eing_Kosten_Grundstück">'E1_Données de projet'!$D$59</definedName>
    <definedName name="Eing_Kosten_Planung_QM">'E1_Données de projet'!$D$80</definedName>
    <definedName name="Eing_Kredit_1">'E1_Données de projet'!$D$93</definedName>
    <definedName name="Eing_Kredit_2">'E1_Données de projet'!$D$100</definedName>
    <definedName name="Eing_Kreditlaufzeit_1">'E1_Données de projet'!$D$94</definedName>
    <definedName name="Eing_Kreditlaufzeit_2">'E1_Données de projet'!$D$101</definedName>
    <definedName name="Eing_Kreditstartjahr_1">'E1_Données de projet'!$D$95</definedName>
    <definedName name="Eing_Kreditstartjahr_2">'E1_Données de projet'!$D$102</definedName>
    <definedName name="Eing_Kreditzinssatz_1">'E1_Données de projet'!$D$97</definedName>
    <definedName name="Eing_Kreditzinssatz_2">'E1_Données de projet'!$D$104</definedName>
    <definedName name="Eing_Leistungspreis1">'E2_Prix de la chaleur'!$G$15</definedName>
    <definedName name="Eing_Leistungspreis2">'E2_Prix de la chaleur'!$G$21</definedName>
    <definedName name="Eing_Leistungspreis3">'E2_Prix de la chaleur'!$G$27</definedName>
    <definedName name="Eing_Leistungspreis4">'E2_Prix de la chaleur'!$G$33</definedName>
    <definedName name="Eing_Leistungspreis5">'E2_Prix de la chaleur'!$G$39</definedName>
    <definedName name="Eing_Leistungspreis6">'E2_Prix de la chaleur'!$G$45</definedName>
    <definedName name="Eing_Netzverluste">'E1_Données de projet'!$D$19</definedName>
    <definedName name="Eing_Nominalzins">'E1_Données de projet'!$D$62</definedName>
    <definedName name="Eing_Nutzungsdauer_AWN">'E1_Données de projet'!$I$74</definedName>
    <definedName name="Eing_Nutzungsdauer_Bau">'E1_Données de projet'!$I$68</definedName>
    <definedName name="Eing_Nutzungsdauer_Hausstationen">'E1_Données de projet'!$I$79</definedName>
    <definedName name="Eing_Nutzungsdauer_Holz">'E1_Données de projet'!$I$69</definedName>
    <definedName name="Eing_Nutzungsdauer_Installationen">'E1_Données de projet'!$I$76</definedName>
    <definedName name="Eing_Nutzungsdauer_Messung">'E1_Données de projet'!$I$78</definedName>
    <definedName name="Eing_Nutzungsdauer_Netz">'E1_Données de projet'!$I$77</definedName>
    <definedName name="Eing_Nutzungsdauer_Planung">'E1_Données de projet'!$I$80</definedName>
    <definedName name="Eing_Nutzungsdauer_SondenGW">'E1_Données de projet'!$I$72</definedName>
    <definedName name="Eing_Nutzungsdauer_Spitzenlast">'E1_Données de projet'!$I$75</definedName>
    <definedName name="Eing_Nutzungsdauer_WKK">'E1_Données de projet'!$I$70</definedName>
    <definedName name="Eing_Nutzungsdauer_WP">'E1_Données de projet'!$I$71</definedName>
    <definedName name="Eing_Nutzungsdauer_Zusatz">'E1_Données de projet'!$I$73</definedName>
    <definedName name="Eing_Preis_AWN">'E1_Données de projet'!$D$50</definedName>
    <definedName name="Eing_Preis_Zusatz">'E1_Données de projet'!$D$46</definedName>
    <definedName name="Eing_Prod_Pflanzenkohle">'E1_Données de projet'!$D$41</definedName>
    <definedName name="Eing_Realzins">'E1_Données de projet'!$D$63</definedName>
    <definedName name="Eing_Rohstoffpreis_Biomasse">'E1_Données de projet'!$D$44</definedName>
    <definedName name="Eing_Rohstoffpreis_fossil">'E1_Données de projet'!$D$47</definedName>
    <definedName name="Eing_Sonstige_Kosten">'E1_Données de projet'!$D$60</definedName>
    <definedName name="Eing_Spez_Stromverbrauch">'E1_Données de projet'!$D$39</definedName>
    <definedName name="Eing_spezUnterhalt_AWN">'E1_Données de projet'!$F$74</definedName>
    <definedName name="Eing_spezUnterhalt_Bau">'E1_Données de projet'!$F$68</definedName>
    <definedName name="Eing_spezUnterhalt_Hausstationen">'E1_Données de projet'!$F$79</definedName>
    <definedName name="Eing_spezUnterhalt_Holz">'E1_Données de projet'!$F$69</definedName>
    <definedName name="Eing_spezUnterhalt_Installationen">'E1_Données de projet'!$F$76</definedName>
    <definedName name="Eing_spezUnterhalt_Messung">'E1_Données de projet'!$F$78</definedName>
    <definedName name="Eing_spezUnterhalt_Netz">'E1_Données de projet'!$F$77</definedName>
    <definedName name="Eing_spezUnterhalt_Planung">'E1_Données de projet'!$F$80</definedName>
    <definedName name="Eing_spezUnterhalt_SondenGW">'E1_Données de projet'!$F$72</definedName>
    <definedName name="Eing_spezUnterhalt_Spitzenlast">'E1_Données de projet'!$F$75</definedName>
    <definedName name="Eing_spezUnterhalt_WKK">'E1_Données de projet'!$F$70</definedName>
    <definedName name="Eing_spezUnterhalt_WP">'E1_Données de projet'!$F$71</definedName>
    <definedName name="Eing_spezUnterhalt_Zusatz">'E1_Données de projet'!$F$73</definedName>
    <definedName name="Eing_StartAmortisation_Kredit1">'E1_Données de projet'!$D$96</definedName>
    <definedName name="Eing_StartAmortisation_Kredit2">'E1_Données de projet'!$D$103</definedName>
    <definedName name="Eing_Strompreis">'E1_Données de projet'!$D$48</definedName>
    <definedName name="Eing_Strompreis_Einspeisung">'E1_Données de projet'!$D$51</definedName>
    <definedName name="Eing_Strompreis_WP">'E1_Données de projet'!$D$49</definedName>
    <definedName name="Eing_Unterhaltskosten">'E1_Données de projet'!$D$57</definedName>
    <definedName name="Eing_Verkaufspreis_Pflanzenkohle">'E1_Données de projet'!$D$52</definedName>
    <definedName name="Eing_verkaufteWM">'E1_Données de projet'!$D$17</definedName>
    <definedName name="Eing_Vertragslaufzeit1">'E2_Prix de la chaleur'!$G$17</definedName>
    <definedName name="Eing_Vertragslaufzeit2">'E2_Prix de la chaleur'!$G$23</definedName>
    <definedName name="Eing_Vertragslaufzeit3">'E2_Prix de la chaleur'!$G$29</definedName>
    <definedName name="Eing_Vertragslaufzeit4">'E2_Prix de la chaleur'!$G$35</definedName>
    <definedName name="Eing_Vertragslaufzeit5">'E2_Prix de la chaleur'!$G$41</definedName>
    <definedName name="Eing_Vertragslaufzeit6">'E2_Prix de la chaleur'!$G$47</definedName>
    <definedName name="Einmaliger_Förderbeitrag_1">'E1_Données de projet'!$D$108</definedName>
    <definedName name="Einmaliger_Förderbeitrag_2">'E1_Données de projet'!$D$110</definedName>
    <definedName name="Einmaliger_Förderbeitrag_3">'E1_Données de projet'!$D$112</definedName>
    <definedName name="Endenergie_fossil">'E1_Données de projet'!$D$130</definedName>
    <definedName name="Endenergie_Zusatz">'E1_Données de projet'!$D$128</definedName>
    <definedName name="Energiekosten_AWN">'E1_Données de projet'!$D$143</definedName>
    <definedName name="Energiekosten_fossil">'E1_Données de projet'!$D$144</definedName>
    <definedName name="Energiekosten_Holzschnitzel">'E1_Données de projet'!$D$140</definedName>
    <definedName name="Energiekosten_WKK">'E1_Données de projet'!$D$141</definedName>
    <definedName name="Energiekosten_Zusatz">'E1_Données de projet'!$D$142</definedName>
    <definedName name="EnergiekostenTotal">'E1_Données de projet'!$D$159</definedName>
    <definedName name="Erg_Wärmepreis" localSheetId="6">'A2_Compte de résultat prévision'!$J$12</definedName>
    <definedName name="Erg_Wärmepreis">A1_Résultats!$Q$11</definedName>
    <definedName name="Ergebnisblatt_Projekttitel">B1_Calculs!$D$6</definedName>
    <definedName name="Erstauszahlung_jährlFörderung">'E1_Données de projet'!$D$117</definedName>
    <definedName name="Ertrag_Pflanzenkohle">'E1_Données de projet'!$D$149</definedName>
    <definedName name="Ertrag_Strom_Pflanzenkohle">'E1_Données de projet'!$D$160</definedName>
    <definedName name="Ertrag_Stromeinspeisung">'E1_Données de projet'!$D$148</definedName>
    <definedName name="Förderung_kapitalisiert">'E1_Données de projet'!$D$162</definedName>
    <definedName name="Förderungsauszahlung_1">'E1_Données de projet'!$D$109</definedName>
    <definedName name="Förderungsauszahlung_2">'E1_Données de projet'!$D$111</definedName>
    <definedName name="Förderungsauszahlung_3">'E1_Données de projet'!$D$113</definedName>
    <definedName name="Gesamte_Investitionskosten">'E1_Données de projet'!$D$151</definedName>
    <definedName name="Gesamtinvestition">'E1_Données de projet'!$D$81</definedName>
    <definedName name="Gesamtsumme_Förderung">'E1_Données de projet'!$D$152</definedName>
    <definedName name="Gewbl_Wärmemenge">'E2_Prix de la chaleur'!$G$20</definedName>
    <definedName name="Grundpreis">'E2_Prix de la chaleur'!$G$15</definedName>
    <definedName name="I1_100">I1_Explications!$A$7</definedName>
    <definedName name="I1_101">I1_Explications!$A$8</definedName>
    <definedName name="I1_101a">I1_Explications!$A$9</definedName>
    <definedName name="I1_101b">I1_Explications!$A$10</definedName>
    <definedName name="I1_101c">I1_Explications!$A$11</definedName>
    <definedName name="I1_101d">I1_Explications!$A$12</definedName>
    <definedName name="I1_101e">I1_Explications!$A$13</definedName>
    <definedName name="I1_101k">I1_Explications!$A$14</definedName>
    <definedName name="I1_105">I1_Explications!$A$15</definedName>
    <definedName name="I1_106">I1_Explications!$A$16</definedName>
    <definedName name="I1_107">I1_Explications!$A$17</definedName>
    <definedName name="I1_108">I1_Explications!$A$18</definedName>
    <definedName name="I1_110">I1_Explications!$A$19</definedName>
    <definedName name="I1_110a">I1_Explications!$A$20</definedName>
    <definedName name="I1_110b">I1_Explications!$A$21</definedName>
    <definedName name="i1_110c">I1_Explications!$A$22</definedName>
    <definedName name="I1_110g">I1_Explications!$A$23</definedName>
    <definedName name="I1_110h">I1_Explications!$A$24</definedName>
    <definedName name="I1_115">I1_Explications!$A$25</definedName>
    <definedName name="I1_115a">I1_Explications!$A$27</definedName>
    <definedName name="I1_115b">I1_Explications!$A$28</definedName>
    <definedName name="I1_115c">I1_Explications!$A$29</definedName>
    <definedName name="I1_115d">I1_Explications!$A$30</definedName>
    <definedName name="I1_115e">I1_Explications!$A$31</definedName>
    <definedName name="I1_115f">I1_Explications!$A$32</definedName>
    <definedName name="I1_115g">I1_Explications!$A$33</definedName>
    <definedName name="I1_115l">I1_Explications!$A$34</definedName>
    <definedName name="I1_115m">I1_Explications!$A$35</definedName>
    <definedName name="I1_115n">I1_Explications!$A$36</definedName>
    <definedName name="I1_115o">I1_Explications!$A$37</definedName>
    <definedName name="I1_115q">I1_Explications!$A$38</definedName>
    <definedName name="I1_115u">I1_Explications!$A$39</definedName>
    <definedName name="I1_115v">I1_Explications!$A$40</definedName>
    <definedName name="I1_115w">I1_Explications!$A$41</definedName>
    <definedName name="I1_115x">I1_Explications!$A$42</definedName>
    <definedName name="I1_120">I1_Explications!$A$43</definedName>
    <definedName name="I1_120a">I1_Explications!$A$44</definedName>
    <definedName name="I1_120c">I1_Explications!$A$45</definedName>
    <definedName name="I1_120d">I1_Explications!$A$46</definedName>
    <definedName name="I1_120e">I1_Explications!$A$47</definedName>
    <definedName name="I1_120f">I1_Explications!$A$48</definedName>
    <definedName name="I1_120g">I1_Explications!$A$49</definedName>
    <definedName name="I1_120j">I1_Explications!$A$50</definedName>
    <definedName name="I1_120m">I1_Explications!$A$51</definedName>
    <definedName name="I1_120n">I1_Explications!$A$52</definedName>
    <definedName name="I1_125">I1_Explications!$A$53</definedName>
    <definedName name="I1_125a">I1_Explications!$A$54</definedName>
    <definedName name="I1_125b">I1_Explications!$A$55</definedName>
    <definedName name="I1_125c">I1_Explications!$A$56</definedName>
    <definedName name="I1_125g">I1_Explications!$A$57</definedName>
    <definedName name="I1_125h">I1_Explications!$A$58</definedName>
    <definedName name="I1_125m">I1_Explications!$A$59</definedName>
    <definedName name="I1_125n">I1_Explications!$A$60</definedName>
    <definedName name="I1_125o">I1_Explications!$A$61</definedName>
    <definedName name="I1_140">I1_Explications!$A$62</definedName>
    <definedName name="I1_141">I1_Explications!$A$63</definedName>
    <definedName name="I1_142">I1_Explications!$A$64</definedName>
    <definedName name="I1_143">I1_Explications!$A$65</definedName>
    <definedName name="I1_145">I1_Explications!$A$66</definedName>
    <definedName name="I1_145a">I1_Explications!$A$67</definedName>
    <definedName name="I1_145b">I1_Explications!$A$68</definedName>
    <definedName name="I1_145c">I1_Explications!$A$69</definedName>
    <definedName name="I1_145d">I1_Explications!$A$70</definedName>
    <definedName name="I1_145e">I1_Explications!$A$71</definedName>
    <definedName name="I1_145f">I1_Explications!$A$72</definedName>
    <definedName name="I1_145g">I1_Explications!$A$73</definedName>
    <definedName name="I1_145h">I1_Explications!$A$74</definedName>
    <definedName name="I1_145i">I1_Explications!$A$75</definedName>
    <definedName name="I1_145j">I1_Explications!$A$76</definedName>
    <definedName name="I1_145k">I1_Explications!$A$78</definedName>
    <definedName name="I1_145l">I1_Explications!$A$79</definedName>
    <definedName name="I1_145m">I1_Explications!$A$80</definedName>
    <definedName name="I1_145z">I1_Explications!$A$81</definedName>
    <definedName name="I1_150">I1_Explications!$A$82</definedName>
    <definedName name="I1_150a">I1_Explications!$A$83</definedName>
    <definedName name="I1_150b">I1_Explications!$A$84</definedName>
    <definedName name="I1_151">I1_Explications!$A$85</definedName>
    <definedName name="I1_155">I1_Explications!$A$86</definedName>
    <definedName name="I1_156">I1_Explications!$A$87</definedName>
    <definedName name="I1_160">I1_Explications!$A$88</definedName>
    <definedName name="I1_160a">I1_Explications!$A$89</definedName>
    <definedName name="I1_160b">I1_Explications!$A$90</definedName>
    <definedName name="I1_160c">I1_Explications!$A$91</definedName>
    <definedName name="I1_160d">I1_Explications!$A$92</definedName>
    <definedName name="I1_160e">I1_Explications!$A$93</definedName>
    <definedName name="I1_165">I1_Explications!$A$94</definedName>
    <definedName name="I1_166">I1_Explications!$A$95</definedName>
    <definedName name="I1_166a">I1_Explications!$A$96</definedName>
    <definedName name="I1_166b">I1_Explications!$A$97</definedName>
    <definedName name="I1_167">I1_Explications!$A$98</definedName>
    <definedName name="I1_167a">I1_Explications!$A$99</definedName>
    <definedName name="I1_167b">I1_Explications!$A$100</definedName>
    <definedName name="I1_167c">I1_Explications!$A$101</definedName>
    <definedName name="I1_170">I1_Explications!$A$102</definedName>
    <definedName name="I1_170a">I1_Explications!$A$103</definedName>
    <definedName name="I1_170b">I1_Explications!$A$104</definedName>
    <definedName name="I1_170c">I1_Explications!$A$105</definedName>
    <definedName name="I1_170d">I1_Explications!$A$106</definedName>
    <definedName name="I1_170e">I1_Explications!$A$107</definedName>
    <definedName name="I1_170f">I1_Explications!$A$108</definedName>
    <definedName name="I1_170g">I1_Explications!$A$109</definedName>
    <definedName name="I1_170h">I1_Explications!$A$110</definedName>
    <definedName name="I1_170i">I1_Explications!$A$111</definedName>
    <definedName name="I1_170j">I1_Explications!$A$112</definedName>
    <definedName name="I1_170k">I1_Explications!$A$113</definedName>
    <definedName name="I1_170l">I1_Explications!$A$114</definedName>
    <definedName name="I1_170m">I1_Explications!$A$115</definedName>
    <definedName name="I1_170n">I1_Explications!$A$116</definedName>
    <definedName name="I1_175">I1_Explications!$A$117</definedName>
    <definedName name="I1_175a">I1_Explications!$A$118</definedName>
    <definedName name="I1_175b">I1_Explications!$A$119</definedName>
    <definedName name="I1_175c">I1_Explications!$A$120</definedName>
    <definedName name="I1_175d">I1_Explications!$A$121</definedName>
    <definedName name="I1_175e">I1_Explications!$A$122</definedName>
    <definedName name="I1_175f">I1_Explications!$A$123</definedName>
    <definedName name="I1_175h">I1_Explications!$A$124</definedName>
    <definedName name="I1_177">I1_Explications!$A$125</definedName>
    <definedName name="I1_177a">I1_Explications!$A$126</definedName>
    <definedName name="I1_177b">I1_Explications!$A$127</definedName>
    <definedName name="I1_179">I1_Explications!$A$128</definedName>
    <definedName name="I1_190">I1_Explications!$A$129</definedName>
    <definedName name="I1_190a">I1_Explications!$A$130</definedName>
    <definedName name="I1_190b">I1_Explications!$A$131</definedName>
    <definedName name="I1_190c">I1_Explications!$A$132</definedName>
    <definedName name="I1_190d">I1_Explications!$A$133</definedName>
    <definedName name="I1_190e">I1_Explications!$A$134</definedName>
    <definedName name="I1_190f">I1_Explications!$A$135</definedName>
    <definedName name="I1_190g">I1_Explications!$A$136</definedName>
    <definedName name="I1_190h">I1_Explications!$A$137</definedName>
    <definedName name="I1_190i">I1_Explications!$A$138</definedName>
    <definedName name="I1_200">I1_Explications!$A$140</definedName>
    <definedName name="I1_206">I1_Explications!$A$142</definedName>
    <definedName name="I1_207">I1_Explications!$A$143</definedName>
    <definedName name="I1_21?a">I1_Explications!$A$146</definedName>
    <definedName name="I1_21?b">I1_Explications!$A$147</definedName>
    <definedName name="I1_21?c">I1_Explications!$A$148</definedName>
    <definedName name="I1_210">I1_Explications!$A$144</definedName>
    <definedName name="I1_211ff">I1_Explications!$A$145</definedName>
    <definedName name="I1_300">I1_Explications!$A$150</definedName>
    <definedName name="I1_310">I1_Explications!$A$151</definedName>
    <definedName name="I1_311">I1_Explications!$A$152</definedName>
    <definedName name="I1_312">I1_Explications!$A$153</definedName>
    <definedName name="I1_320">I1_Explications!$A$154</definedName>
    <definedName name="I1_321">I1_Explications!$A$155</definedName>
    <definedName name="I1_322">I1_Explications!$A$156</definedName>
    <definedName name="I1_323">I1_Explications!$A$157</definedName>
    <definedName name="I1_324">I1_Explications!$A$158</definedName>
    <definedName name="I1_325">I1_Explications!$A$159</definedName>
    <definedName name="I1_326">I1_Explications!$A$160</definedName>
    <definedName name="I1_330">I1_Explications!$A$161</definedName>
    <definedName name="I1_331">I1_Explications!$A$162</definedName>
    <definedName name="I1_332">I1_Explications!$A$163</definedName>
    <definedName name="I1_333">I1_Explications!$A$164</definedName>
    <definedName name="I1_334">I1_Explications!$A$165</definedName>
    <definedName name="I1_335">I1_Explications!$A$166</definedName>
    <definedName name="I1_500">I1_Explications!$A$168</definedName>
    <definedName name="I1_501">I1_Explications!$A$169</definedName>
    <definedName name="I1_505">I1_Explications!$A$170</definedName>
    <definedName name="I1_506">I1_Explications!$A$171</definedName>
    <definedName name="I1_510">I1_Explications!$A$172</definedName>
    <definedName name="I1_510a">I1_Explications!$A$173</definedName>
    <definedName name="I1_510b">I1_Explications!$A$174</definedName>
    <definedName name="I1_510c">I1_Explications!$A$175</definedName>
    <definedName name="I1_510d">I1_Explications!$A$176</definedName>
    <definedName name="I1_510e">I1_Explications!$A$177</definedName>
    <definedName name="I1_510f">I1_Explications!$A$178</definedName>
    <definedName name="I1_510g">I1_Explications!$A$179</definedName>
    <definedName name="I1_510h">I1_Explications!$A$180</definedName>
    <definedName name="I1_510i">I1_Explications!$A$181</definedName>
    <definedName name="I1_510j">I1_Explications!$A$182</definedName>
    <definedName name="I1_510k">I1_Explications!$A$183</definedName>
    <definedName name="I1_510l">I1_Explications!$A$184</definedName>
    <definedName name="I1_510q">I1_Explications!$A$185</definedName>
    <definedName name="I1_510r">I1_Explications!$A$186</definedName>
    <definedName name="I1_510w">I1_Explications!$A$187</definedName>
    <definedName name="I1_511">I1_Explications!$A$188</definedName>
    <definedName name="I1_530">I1_Explications!$A$189</definedName>
    <definedName name="I1_531">I1_Explications!$A$190</definedName>
    <definedName name="I1_532">I1_Explications!$A$191</definedName>
    <definedName name="I1_533">I1_Explications!$A$192</definedName>
    <definedName name="I1_541">I1_Explications!$A$193</definedName>
    <definedName name="I1_542">I1_Explications!$A$194</definedName>
    <definedName name="I1_543">I1_Explications!$A$195</definedName>
    <definedName name="I1_544">I1_Explications!$A$196</definedName>
    <definedName name="I1_551">I1_Explications!$A$197</definedName>
    <definedName name="I1_552">I1_Explications!$A$198</definedName>
    <definedName name="I1_555">I1_Explications!$A$199</definedName>
    <definedName name="I1_559">I1_Explications!#REF!</definedName>
    <definedName name="I1_561">I1_Explications!$A$200</definedName>
    <definedName name="I1_562">I1_Explications!$A$201</definedName>
    <definedName name="I1_563">I1_Explications!$A$202</definedName>
    <definedName name="I1_564">I1_Explications!$A$203</definedName>
    <definedName name="I1_566">I1_Explications!$A$204</definedName>
    <definedName name="I1_567">I1_Explications!$A$205</definedName>
    <definedName name="I1_569">I1_Explications!$A$206</definedName>
    <definedName name="I1_571a">I1_Explications!$A$207</definedName>
    <definedName name="I1_571b">I1_Explications!$A$208</definedName>
    <definedName name="I1_571c">I1_Explications!$A$209</definedName>
    <definedName name="I1_571d">I1_Explications!$A$210</definedName>
    <definedName name="I1_571e">I1_Explications!$A$211</definedName>
    <definedName name="I1_572a">I1_Explications!$A$212</definedName>
    <definedName name="I1_572b">I1_Explications!$A$213</definedName>
    <definedName name="I1_574a">I1_Explications!$A$214</definedName>
    <definedName name="I1_574b">I1_Explications!$A$215</definedName>
    <definedName name="I1_575">I1_Explications!$A$216</definedName>
    <definedName name="I1_576">I1_Explications!$A$217</definedName>
    <definedName name="I1_577">I1_Explications!$A$218</definedName>
    <definedName name="I1_578">I1_Explications!$A$219</definedName>
    <definedName name="I1_579">I1_Explications!$A$220</definedName>
    <definedName name="I1_580">I1_Explications!$A$221</definedName>
    <definedName name="I1_581">I1_Explications!$A$222</definedName>
    <definedName name="I1_582">I1_Explications!$A$223</definedName>
    <definedName name="I1_585">I1_Explications!$A$224</definedName>
    <definedName name="I1_588">I1_Explications!$A$225</definedName>
    <definedName name="I1_589">I1_Explications!$A$226</definedName>
    <definedName name="I1_591">I1_Explications!$A$227</definedName>
    <definedName name="I1_592">I1_Explications!$A$228</definedName>
    <definedName name="I1_599">I1_Explications!$A$229</definedName>
    <definedName name="I1_600">I1_Explications!$A$231</definedName>
    <definedName name="I1_610">I1_Explications!$A$232</definedName>
    <definedName name="I1_612">I1_Explications!$A$233</definedName>
    <definedName name="I1_613">I1_Explications!$A$234</definedName>
    <definedName name="I1_615">I1_Explications!$A$235</definedName>
    <definedName name="I1_620">I1_Explications!$A$236</definedName>
    <definedName name="I1_621">I1_Explications!$A$237</definedName>
    <definedName name="I1_622">I1_Explications!$A$238</definedName>
    <definedName name="I1_623">I1_Explications!$A$239</definedName>
    <definedName name="I1_624">I1_Explications!$A$240</definedName>
    <definedName name="I1_625">I1_Explications!$A$241</definedName>
    <definedName name="I1_626">I1_Explications!$A$242</definedName>
    <definedName name="I1_627">I1_Explications!$A$243</definedName>
    <definedName name="I1_650">I1_Explications!$A$244</definedName>
    <definedName name="I1_655">I1_Explications!$A$245</definedName>
    <definedName name="I1_690">I1_Explications!$A$246</definedName>
    <definedName name="I1_700">I1_Explications!$A$248</definedName>
    <definedName name="I1_710">I1_Explications!$A$249</definedName>
    <definedName name="I1_711">I1_Explications!$A$250</definedName>
    <definedName name="I1_712">I1_Explications!$A$251</definedName>
    <definedName name="I1_713">I1_Explications!$A$252</definedName>
    <definedName name="I1_714">I1_Explications!$A$253</definedName>
    <definedName name="I1_715">I1_Explications!$A$254</definedName>
    <definedName name="I1_716">I1_Explications!$A$255</definedName>
    <definedName name="I1_900">I1_Explications!$A$257</definedName>
    <definedName name="I1_910">I1_Explications!$A$258</definedName>
    <definedName name="I1_911">I1_Explications!$A$259</definedName>
    <definedName name="I1_912">I1_Explications!$A$260</definedName>
    <definedName name="I1_920">I1_Explications!$A$261</definedName>
    <definedName name="I1_921">I1_Explications!$A$262</definedName>
    <definedName name="I1_922">I1_Explications!$A$263</definedName>
    <definedName name="I1_923">I1_Explications!$A$264</definedName>
    <definedName name="I1_924">I1_Explications!$A$265</definedName>
    <definedName name="I1_925">I1_Explications!$A$266</definedName>
    <definedName name="I1_926">I1_Explications!$A$267</definedName>
    <definedName name="I1_927">I1_Explications!$A$268</definedName>
    <definedName name="I1_928">I1_Explications!$A$269</definedName>
    <definedName name="I1_929">I1_Explications!$A$270</definedName>
    <definedName name="I1_930">I1_Explications!$A$271</definedName>
    <definedName name="Jahr_Etappe_1">'E1_Données de projet'!$D$83</definedName>
    <definedName name="Jahr_Etappe_2">'E1_Données de projet'!$D$84</definedName>
    <definedName name="Jahr_Etappe_3">'E1_Données de projet'!$D$85</definedName>
    <definedName name="Jahr_Etappe_4">'E1_Données de projet'!$D$86</definedName>
    <definedName name="Jahr_Etappe_5">'E1_Données de projet'!$D$87</definedName>
    <definedName name="Jahreskosten">'E1_Données de projet'!$D$161</definedName>
    <definedName name="Jahreskosten_inklFörderung">'E1_Données de projet'!$D$163</definedName>
    <definedName name="jährlicher_Förderbeitrag">'E1_Données de projet'!$D$81</definedName>
    <definedName name="Kapitalkosten_Wärmeerzeugung">'E1_Données de projet'!$D$155</definedName>
    <definedName name="Kapitalkosten_Wärmeverteilung">'E1_Données de projet'!$D$156</definedName>
    <definedName name="max_verkaufteWM">'E1_Données de projet'!$D$18</definedName>
    <definedName name="mittl_Erzeugte_Wärmemenge">'E1_Données de projet'!$D$123</definedName>
    <definedName name="Netzbezug_Hilfsenergie">'E1_Données de projet'!$D$135</definedName>
    <definedName name="Netzbezug_WP">'E1_Données de projet'!$D$134</definedName>
    <definedName name="Nutzwärme_AWN">'E1_Données de projet'!$D$129</definedName>
    <definedName name="Nutzwärme_Biomasse">'E1_Données de projet'!$D$124</definedName>
    <definedName name="Nutzwärme_Kondensation">'E1_Données de projet'!$D$125</definedName>
    <definedName name="Nutzwärme_WP">'E1_Données de projet'!$D$127</definedName>
    <definedName name="Produktion_Pflanzenkohle">'E1_Données de projet'!$D$137</definedName>
    <definedName name="Realzins">'E1_Données de projet'!$D$63</definedName>
    <definedName name="Stromeinspeisung_Netz">'E1_Données de projet'!$D$136</definedName>
    <definedName name="Stromkosten_Hilfsenergie">'E1_Données de projet'!$D$146</definedName>
    <definedName name="Stromkosten_WP">'E1_Données de projet'!$D$145</definedName>
    <definedName name="Stromproduktion_WKK">'E1_Données de projet'!$D$131</definedName>
    <definedName name="Stromverbrauch">'E1_Données de projet'!$C$146</definedName>
    <definedName name="Summe_einmalige_Anschlusskosten">'E1_Données de projet'!$D$90</definedName>
    <definedName name="Wärme_WKK">'E1_Données de projet'!$D$126</definedName>
    <definedName name="Wärmegestehungskosten_Energie">'E1_Données de projet'!$F$159</definedName>
    <definedName name="Wärmegestehungskosten_Ertrag">'E1_Données de projet'!$F$160</definedName>
    <definedName name="Wärmegestehungskosten_Förderung">'E1_Données de projet'!$F$162</definedName>
    <definedName name="Wärmegestehungskosten_inklFörderung">'E1_Données de projet'!$F$163</definedName>
    <definedName name="Wärmegestehungskosten_Kapital_Erzeugung">'E1_Données de projet'!$F$155</definedName>
    <definedName name="Wärmegestehungskosten_Kapital_Verteilung">'E1_Données de projet'!$F$156</definedName>
    <definedName name="Wärmegestehungskosten_Total">'E1_Données de projet'!$F$161</definedName>
    <definedName name="Wärmegestehungskosten_WUErzeugung">'E1_Données de projet'!$F$157</definedName>
    <definedName name="Wärmegestehungskosten_WUVerteilung">'E1_Données de projet'!$F$158</definedName>
    <definedName name="Wärmepreis" localSheetId="6">'A2_Compte de résultat prévision'!$J$12</definedName>
    <definedName name="Wärmepreis">A1_Résultats!$Q$11</definedName>
    <definedName name="WartungUnterhalt_Wärmeerzeugung">'E1_Données de projet'!$D$157</definedName>
    <definedName name="WartungUnterhalt_Wärmeverteilung">'E1_Données de projet'!$D$158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1" i="9" l="1"/>
  <c r="V68" i="8"/>
  <c r="U68" i="8"/>
  <c r="V67" i="8"/>
  <c r="U67" i="8"/>
  <c r="V66" i="8"/>
  <c r="U66" i="8"/>
  <c r="V65" i="8"/>
  <c r="U65" i="8"/>
  <c r="V64" i="8"/>
  <c r="U64" i="8"/>
  <c r="V63" i="8"/>
  <c r="U63" i="8"/>
  <c r="V62" i="8"/>
  <c r="U62" i="8"/>
  <c r="V61" i="8"/>
  <c r="U61" i="8"/>
  <c r="V60" i="8"/>
  <c r="U60" i="8"/>
  <c r="V59" i="8"/>
  <c r="U59" i="8"/>
  <c r="V58" i="8"/>
  <c r="U58" i="8"/>
  <c r="V57" i="8"/>
  <c r="U57" i="8"/>
  <c r="V56" i="8"/>
  <c r="U56" i="8"/>
  <c r="V55" i="8"/>
  <c r="U55" i="8"/>
  <c r="V54" i="8"/>
  <c r="U54" i="8"/>
  <c r="V53" i="8"/>
  <c r="U53" i="8"/>
  <c r="V52" i="8"/>
  <c r="U52" i="8"/>
  <c r="V51" i="8"/>
  <c r="U51" i="8"/>
  <c r="V50" i="8"/>
  <c r="U50" i="8"/>
  <c r="V49" i="8"/>
  <c r="U49" i="8"/>
  <c r="V48" i="8"/>
  <c r="U48" i="8"/>
  <c r="V47" i="8"/>
  <c r="U47" i="8"/>
  <c r="V46" i="8"/>
  <c r="U46" i="8"/>
  <c r="V45" i="8"/>
  <c r="U45" i="8"/>
  <c r="V44" i="8"/>
  <c r="U44" i="8"/>
  <c r="F17" i="8"/>
  <c r="F16" i="8"/>
  <c r="G17" i="8"/>
  <c r="G44" i="6" l="1" a="1"/>
  <c r="G44" i="6" s="1"/>
  <c r="G38" i="6" a="1"/>
  <c r="G38" i="6" s="1"/>
  <c r="G32" i="6" a="1"/>
  <c r="G32" i="6" s="1"/>
  <c r="G26" i="6" a="1"/>
  <c r="G26" i="6" s="1"/>
  <c r="G20" i="6" a="1"/>
  <c r="G20" i="6" s="1"/>
  <c r="G14" i="6" a="1"/>
  <c r="G14" i="6" s="1"/>
  <c r="F83" i="9" l="1"/>
  <c r="E137" i="9" l="1"/>
  <c r="D18" i="9"/>
  <c r="D23" i="9"/>
  <c r="E52" i="9"/>
  <c r="D133" i="9" l="1"/>
  <c r="D85" i="9" l="1"/>
  <c r="D84" i="9"/>
  <c r="I84" i="9"/>
  <c r="I85" i="9" s="1"/>
  <c r="D83" i="9"/>
  <c r="I83" i="9" l="1"/>
  <c r="E35" i="20" l="1" a="1"/>
  <c r="E35" i="20" s="1"/>
  <c r="E20" i="20" a="1"/>
  <c r="E20" i="20" s="1"/>
  <c r="C11" i="20" l="1"/>
  <c r="C9" i="20"/>
  <c r="C8" i="20"/>
  <c r="C7" i="20"/>
  <c r="K90" i="9"/>
  <c r="D90" i="9"/>
  <c r="D136" i="9" l="1"/>
  <c r="D132" i="9"/>
  <c r="D57" i="9"/>
  <c r="U72" i="9" l="1"/>
  <c r="U77" i="9"/>
  <c r="U79" i="9"/>
  <c r="IZ25" i="15" l="1"/>
  <c r="IY25" i="15"/>
  <c r="IX25" i="15"/>
  <c r="IW25" i="15"/>
  <c r="IV25" i="15"/>
  <c r="IU25" i="15"/>
  <c r="IT25" i="15"/>
  <c r="IS25" i="15"/>
  <c r="IR25" i="15"/>
  <c r="IQ25" i="15"/>
  <c r="IP25" i="15"/>
  <c r="IO25" i="15"/>
  <c r="IN25" i="15"/>
  <c r="IM25" i="15"/>
  <c r="IL25" i="15"/>
  <c r="IK25" i="15"/>
  <c r="IJ25" i="15"/>
  <c r="II25" i="15"/>
  <c r="IH25" i="15"/>
  <c r="IG25" i="15"/>
  <c r="IF25" i="15"/>
  <c r="IE25" i="15"/>
  <c r="ID25" i="15"/>
  <c r="IC25" i="15"/>
  <c r="IB25" i="15"/>
  <c r="IA25" i="15"/>
  <c r="HZ25" i="15"/>
  <c r="HY25" i="15"/>
  <c r="HX25" i="15"/>
  <c r="HW25" i="15"/>
  <c r="HV25" i="15"/>
  <c r="HU25" i="15"/>
  <c r="HT25" i="15"/>
  <c r="HS25" i="15"/>
  <c r="HR25" i="15"/>
  <c r="HQ25" i="15"/>
  <c r="HP25" i="15"/>
  <c r="HO25" i="15"/>
  <c r="HN25" i="15"/>
  <c r="HM25" i="15"/>
  <c r="HL25" i="15"/>
  <c r="HK25" i="15"/>
  <c r="HJ25" i="15"/>
  <c r="HI25" i="15"/>
  <c r="HH25" i="15"/>
  <c r="HG25" i="15"/>
  <c r="HF25" i="15"/>
  <c r="HE25" i="15"/>
  <c r="HD25" i="15"/>
  <c r="HC25" i="15"/>
  <c r="HB25" i="15"/>
  <c r="HA25" i="15"/>
  <c r="GZ25" i="15"/>
  <c r="GY25" i="15"/>
  <c r="GX25" i="15"/>
  <c r="GW25" i="15"/>
  <c r="GV25" i="15"/>
  <c r="GU25" i="15"/>
  <c r="GT25" i="15"/>
  <c r="GS25" i="15"/>
  <c r="GR25" i="15"/>
  <c r="GQ25" i="15"/>
  <c r="GP25" i="15"/>
  <c r="GO25" i="15"/>
  <c r="GN25" i="15"/>
  <c r="GM25" i="15"/>
  <c r="GL25" i="15"/>
  <c r="GK25" i="15"/>
  <c r="GJ25" i="15"/>
  <c r="GI25" i="15"/>
  <c r="GH25" i="15"/>
  <c r="GG25" i="15"/>
  <c r="GF25" i="15"/>
  <c r="GE25" i="15"/>
  <c r="GD25" i="15"/>
  <c r="GC25" i="15"/>
  <c r="GB25" i="15"/>
  <c r="GA25" i="15"/>
  <c r="FZ25" i="15"/>
  <c r="FY25" i="15"/>
  <c r="FX25" i="15"/>
  <c r="FW25" i="15"/>
  <c r="FV25" i="15"/>
  <c r="FU25" i="15"/>
  <c r="FT25" i="15"/>
  <c r="FS25" i="15"/>
  <c r="FR25" i="15"/>
  <c r="FQ25" i="15"/>
  <c r="FP25" i="15"/>
  <c r="FO25" i="15"/>
  <c r="FN25" i="15"/>
  <c r="FM25" i="15"/>
  <c r="FL25" i="15"/>
  <c r="FK25" i="15"/>
  <c r="FJ25" i="15"/>
  <c r="FI25" i="15"/>
  <c r="FH25" i="15"/>
  <c r="FG25" i="15"/>
  <c r="FF25" i="15"/>
  <c r="FE25" i="15"/>
  <c r="FD25" i="15"/>
  <c r="FC25" i="15"/>
  <c r="FB25" i="15"/>
  <c r="FA25" i="15"/>
  <c r="EZ25" i="15"/>
  <c r="EY25" i="15"/>
  <c r="EX25" i="15"/>
  <c r="EW25" i="15"/>
  <c r="EV25" i="15"/>
  <c r="EU25" i="15"/>
  <c r="ET25" i="15"/>
  <c r="ES25" i="15"/>
  <c r="ER25" i="15"/>
  <c r="EQ25" i="15"/>
  <c r="EP25" i="15"/>
  <c r="EO25" i="15"/>
  <c r="EN25" i="15"/>
  <c r="EM25" i="15"/>
  <c r="EL25" i="15"/>
  <c r="EK25" i="15"/>
  <c r="EJ25" i="15"/>
  <c r="EI25" i="15"/>
  <c r="EH25" i="15"/>
  <c r="EG25" i="15"/>
  <c r="EF25" i="15"/>
  <c r="EE25" i="15"/>
  <c r="ED25" i="15"/>
  <c r="EC25" i="15"/>
  <c r="EB25" i="15"/>
  <c r="EA25" i="15"/>
  <c r="DZ25" i="15"/>
  <c r="DY25" i="15"/>
  <c r="DX25" i="15"/>
  <c r="DW25" i="15"/>
  <c r="DV25" i="15"/>
  <c r="DU25" i="15"/>
  <c r="DT25" i="15"/>
  <c r="DS25" i="15"/>
  <c r="DR25" i="15"/>
  <c r="DQ25" i="15"/>
  <c r="DP25" i="15"/>
  <c r="DO25" i="15"/>
  <c r="DN25" i="15"/>
  <c r="DM25" i="15"/>
  <c r="DL25" i="15"/>
  <c r="DK25" i="15"/>
  <c r="DJ25" i="15"/>
  <c r="DI25" i="15"/>
  <c r="DH25" i="15"/>
  <c r="DG25" i="15"/>
  <c r="DF25" i="15"/>
  <c r="DE25" i="15"/>
  <c r="DD25" i="15"/>
  <c r="DC25" i="15"/>
  <c r="DB25" i="15"/>
  <c r="DA25" i="15"/>
  <c r="CZ25" i="15"/>
  <c r="CY25" i="15"/>
  <c r="CX25" i="15"/>
  <c r="CW25" i="15"/>
  <c r="CV25" i="15"/>
  <c r="CU25" i="15"/>
  <c r="CT25" i="15"/>
  <c r="CS25" i="15"/>
  <c r="CR25" i="15"/>
  <c r="CQ25" i="15"/>
  <c r="CP25" i="15"/>
  <c r="CO25" i="15"/>
  <c r="CN25" i="15"/>
  <c r="CM25" i="15"/>
  <c r="CL25" i="15"/>
  <c r="CK25" i="15"/>
  <c r="CJ25" i="15"/>
  <c r="CI25" i="15"/>
  <c r="CH25" i="15"/>
  <c r="CG25" i="15"/>
  <c r="CF25" i="15"/>
  <c r="CE25" i="15"/>
  <c r="CD25" i="15"/>
  <c r="CC25" i="15"/>
  <c r="CB25" i="15"/>
  <c r="CA25" i="15"/>
  <c r="BZ25" i="15"/>
  <c r="BY25" i="15"/>
  <c r="BX25" i="15"/>
  <c r="BW25" i="15"/>
  <c r="BV25" i="15"/>
  <c r="BU25" i="15"/>
  <c r="BT25" i="15"/>
  <c r="BS25" i="15"/>
  <c r="BR25" i="15"/>
  <c r="BQ25" i="15"/>
  <c r="BP25" i="15"/>
  <c r="BO25" i="15"/>
  <c r="BN25" i="15"/>
  <c r="BM25" i="15"/>
  <c r="BL25" i="15"/>
  <c r="BK25" i="15"/>
  <c r="BJ25" i="15"/>
  <c r="BI25" i="15"/>
  <c r="BH25" i="15"/>
  <c r="BG25" i="15"/>
  <c r="BF25" i="15"/>
  <c r="BE25" i="15"/>
  <c r="BD25" i="15"/>
  <c r="BC25" i="15"/>
  <c r="BB25" i="15"/>
  <c r="BA25" i="15"/>
  <c r="AZ25" i="15"/>
  <c r="AY25" i="15"/>
  <c r="AX25" i="15"/>
  <c r="AW25" i="15"/>
  <c r="AV25" i="15"/>
  <c r="AU25" i="15"/>
  <c r="AT25" i="15"/>
  <c r="AS25" i="15"/>
  <c r="AR25" i="15"/>
  <c r="AQ25" i="15"/>
  <c r="AP25" i="15"/>
  <c r="AO25" i="15"/>
  <c r="AN25" i="15"/>
  <c r="AM25" i="15"/>
  <c r="AL25" i="15"/>
  <c r="AK25" i="15"/>
  <c r="AJ25" i="15"/>
  <c r="AI25" i="15"/>
  <c r="AH25" i="15"/>
  <c r="AG25" i="15"/>
  <c r="AF25" i="15"/>
  <c r="BA68" i="8"/>
  <c r="BA67" i="8"/>
  <c r="BA66" i="8"/>
  <c r="BA65" i="8"/>
  <c r="BA64" i="8"/>
  <c r="BA63" i="8"/>
  <c r="BA62" i="8"/>
  <c r="BA61" i="8"/>
  <c r="BA60" i="8"/>
  <c r="BA59" i="8"/>
  <c r="BA58" i="8"/>
  <c r="BA57" i="8"/>
  <c r="BA56" i="8"/>
  <c r="BA55" i="8"/>
  <c r="BA54" i="8"/>
  <c r="BA53" i="8"/>
  <c r="BA52" i="8"/>
  <c r="BA51" i="8"/>
  <c r="BA50" i="8"/>
  <c r="BA49" i="8"/>
  <c r="BA48" i="8"/>
  <c r="BA47" i="8"/>
  <c r="BA46" i="8"/>
  <c r="BA45" i="8"/>
  <c r="BA44" i="8"/>
  <c r="T56" i="9" l="1"/>
  <c r="D96" i="9"/>
  <c r="D55" i="9" l="1"/>
  <c r="U116" i="9"/>
  <c r="U119" i="9"/>
  <c r="V116" i="9"/>
  <c r="V119" i="9"/>
  <c r="T118" i="9"/>
  <c r="T115" i="9"/>
  <c r="W51" i="9"/>
  <c r="W52" i="9"/>
  <c r="U29" i="9"/>
  <c r="U30" i="9"/>
  <c r="U31" i="9"/>
  <c r="U28" i="9"/>
  <c r="T27" i="9"/>
  <c r="F36" i="8"/>
  <c r="D29" i="16"/>
  <c r="D25" i="16"/>
  <c r="D24" i="16"/>
  <c r="F37" i="8" l="1"/>
  <c r="G28" i="8"/>
  <c r="G18" i="8"/>
  <c r="D30" i="16" l="1"/>
  <c r="D128" i="9" a="1"/>
  <c r="D128" i="9" s="1"/>
  <c r="D142" i="9" s="1" a="1"/>
  <c r="D142" i="9" s="1"/>
  <c r="V73" i="9"/>
  <c r="U73" i="9"/>
  <c r="V46" i="9"/>
  <c r="U46" i="9"/>
  <c r="V35" i="9"/>
  <c r="U35" i="9"/>
  <c r="V27" i="9"/>
  <c r="U27" i="9"/>
  <c r="V30" i="9"/>
  <c r="K103" i="9"/>
  <c r="K96" i="9"/>
  <c r="M80" i="9"/>
  <c r="K63" i="9"/>
  <c r="K57" i="9"/>
  <c r="K55" i="9"/>
  <c r="K49" i="9"/>
  <c r="K23" i="9"/>
  <c r="F25" i="8"/>
  <c r="F23" i="8"/>
  <c r="G29" i="8"/>
  <c r="G19" i="8"/>
  <c r="GB26" i="15"/>
  <c r="GC26" i="15"/>
  <c r="GD26" i="15"/>
  <c r="GE26" i="15"/>
  <c r="GF26" i="15"/>
  <c r="GG26" i="15"/>
  <c r="GH26" i="15"/>
  <c r="GI26" i="15"/>
  <c r="GJ26" i="15"/>
  <c r="GK26" i="15"/>
  <c r="GL26" i="15"/>
  <c r="GM26" i="15"/>
  <c r="GN26" i="15"/>
  <c r="GO26" i="15"/>
  <c r="GP26" i="15"/>
  <c r="GQ26" i="15"/>
  <c r="GR26" i="15"/>
  <c r="GS26" i="15"/>
  <c r="GT26" i="15"/>
  <c r="GU26" i="15"/>
  <c r="GV26" i="15"/>
  <c r="GW26" i="15"/>
  <c r="GX26" i="15"/>
  <c r="GY26" i="15"/>
  <c r="GZ26" i="15"/>
  <c r="HA26" i="15"/>
  <c r="HB26" i="15"/>
  <c r="HC26" i="15"/>
  <c r="HD26" i="15"/>
  <c r="HE26" i="15"/>
  <c r="HF26" i="15"/>
  <c r="HG26" i="15"/>
  <c r="HH26" i="15"/>
  <c r="HI26" i="15"/>
  <c r="HJ26" i="15"/>
  <c r="HK26" i="15"/>
  <c r="HL26" i="15"/>
  <c r="HM26" i="15"/>
  <c r="HN26" i="15"/>
  <c r="HO26" i="15"/>
  <c r="HP26" i="15"/>
  <c r="HQ26" i="15"/>
  <c r="HR26" i="15"/>
  <c r="HS26" i="15"/>
  <c r="HT26" i="15"/>
  <c r="HU26" i="15"/>
  <c r="HV26" i="15"/>
  <c r="HW26" i="15"/>
  <c r="HX26" i="15"/>
  <c r="HY26" i="15"/>
  <c r="HZ26" i="15"/>
  <c r="IA26" i="15"/>
  <c r="IB26" i="15"/>
  <c r="IC26" i="15"/>
  <c r="ID26" i="15"/>
  <c r="IE26" i="15"/>
  <c r="IF26" i="15"/>
  <c r="IG26" i="15"/>
  <c r="IH26" i="15"/>
  <c r="II26" i="15"/>
  <c r="IJ26" i="15"/>
  <c r="IK26" i="15"/>
  <c r="IL26" i="15"/>
  <c r="IM26" i="15"/>
  <c r="IN26" i="15"/>
  <c r="IO26" i="15"/>
  <c r="IP26" i="15"/>
  <c r="IQ26" i="15"/>
  <c r="IR26" i="15"/>
  <c r="IS26" i="15"/>
  <c r="IT26" i="15"/>
  <c r="IU26" i="15"/>
  <c r="IV26" i="15"/>
  <c r="IW26" i="15"/>
  <c r="IX26" i="15"/>
  <c r="IY26" i="15"/>
  <c r="IZ26" i="15"/>
  <c r="GB27" i="15"/>
  <c r="GC27" i="15"/>
  <c r="GD27" i="15"/>
  <c r="GE27" i="15"/>
  <c r="GF27" i="15"/>
  <c r="GG27" i="15"/>
  <c r="GH27" i="15"/>
  <c r="GI27" i="15"/>
  <c r="GJ27" i="15"/>
  <c r="GK27" i="15"/>
  <c r="GL27" i="15"/>
  <c r="GM27" i="15"/>
  <c r="GN27" i="15"/>
  <c r="GO27" i="15"/>
  <c r="GP27" i="15"/>
  <c r="GQ27" i="15"/>
  <c r="GR27" i="15"/>
  <c r="GS27" i="15"/>
  <c r="GT27" i="15"/>
  <c r="GU27" i="15"/>
  <c r="GV27" i="15"/>
  <c r="GW27" i="15"/>
  <c r="GX27" i="15"/>
  <c r="GY27" i="15"/>
  <c r="GZ27" i="15"/>
  <c r="HA27" i="15"/>
  <c r="HB27" i="15"/>
  <c r="HC27" i="15"/>
  <c r="HD27" i="15"/>
  <c r="HE27" i="15"/>
  <c r="HF27" i="15"/>
  <c r="HG27" i="15"/>
  <c r="HH27" i="15"/>
  <c r="HI27" i="15"/>
  <c r="HJ27" i="15"/>
  <c r="HK27" i="15"/>
  <c r="HL27" i="15"/>
  <c r="HM27" i="15"/>
  <c r="HN27" i="15"/>
  <c r="HO27" i="15"/>
  <c r="HP27" i="15"/>
  <c r="HQ27" i="15"/>
  <c r="HR27" i="15"/>
  <c r="HS27" i="15"/>
  <c r="HT27" i="15"/>
  <c r="HU27" i="15"/>
  <c r="HV27" i="15"/>
  <c r="HW27" i="15"/>
  <c r="HX27" i="15"/>
  <c r="HY27" i="15"/>
  <c r="HZ27" i="15"/>
  <c r="IA27" i="15"/>
  <c r="IB27" i="15"/>
  <c r="IC27" i="15"/>
  <c r="ID27" i="15"/>
  <c r="IE27" i="15"/>
  <c r="IF27" i="15"/>
  <c r="IG27" i="15"/>
  <c r="IH27" i="15"/>
  <c r="II27" i="15"/>
  <c r="IJ27" i="15"/>
  <c r="IK27" i="15"/>
  <c r="IL27" i="15"/>
  <c r="IM27" i="15"/>
  <c r="IN27" i="15"/>
  <c r="IO27" i="15"/>
  <c r="IP27" i="15"/>
  <c r="IQ27" i="15"/>
  <c r="IR27" i="15"/>
  <c r="IS27" i="15"/>
  <c r="IT27" i="15"/>
  <c r="IU27" i="15"/>
  <c r="IV27" i="15"/>
  <c r="IW27" i="15"/>
  <c r="IX27" i="15"/>
  <c r="IY27" i="15"/>
  <c r="IZ27" i="15"/>
  <c r="GB28" i="15"/>
  <c r="GC28" i="15"/>
  <c r="GD28" i="15"/>
  <c r="GE28" i="15"/>
  <c r="GF28" i="15"/>
  <c r="GG28" i="15"/>
  <c r="GH28" i="15"/>
  <c r="GI28" i="15"/>
  <c r="GJ28" i="15"/>
  <c r="GK28" i="15"/>
  <c r="GL28" i="15"/>
  <c r="GM28" i="15"/>
  <c r="GN28" i="15"/>
  <c r="GO28" i="15"/>
  <c r="GP28" i="15"/>
  <c r="GQ28" i="15"/>
  <c r="GR28" i="15"/>
  <c r="GS28" i="15"/>
  <c r="GT28" i="15"/>
  <c r="GU28" i="15"/>
  <c r="GV28" i="15"/>
  <c r="GW28" i="15"/>
  <c r="GX28" i="15"/>
  <c r="GY28" i="15"/>
  <c r="GZ28" i="15"/>
  <c r="HA28" i="15"/>
  <c r="HB28" i="15"/>
  <c r="HC28" i="15"/>
  <c r="HD28" i="15"/>
  <c r="HE28" i="15"/>
  <c r="HF28" i="15"/>
  <c r="HG28" i="15"/>
  <c r="HH28" i="15"/>
  <c r="HI28" i="15"/>
  <c r="HJ28" i="15"/>
  <c r="HK28" i="15"/>
  <c r="HL28" i="15"/>
  <c r="HM28" i="15"/>
  <c r="HN28" i="15"/>
  <c r="HO28" i="15"/>
  <c r="HP28" i="15"/>
  <c r="HQ28" i="15"/>
  <c r="HR28" i="15"/>
  <c r="HS28" i="15"/>
  <c r="HT28" i="15"/>
  <c r="HU28" i="15"/>
  <c r="HV28" i="15"/>
  <c r="HW28" i="15"/>
  <c r="HX28" i="15"/>
  <c r="HY28" i="15"/>
  <c r="HZ28" i="15"/>
  <c r="IA28" i="15"/>
  <c r="IB28" i="15"/>
  <c r="IC28" i="15"/>
  <c r="ID28" i="15"/>
  <c r="IE28" i="15"/>
  <c r="IF28" i="15"/>
  <c r="IG28" i="15"/>
  <c r="IH28" i="15"/>
  <c r="II28" i="15"/>
  <c r="IJ28" i="15"/>
  <c r="IK28" i="15"/>
  <c r="IL28" i="15"/>
  <c r="IM28" i="15"/>
  <c r="IN28" i="15"/>
  <c r="IO28" i="15"/>
  <c r="IP28" i="15"/>
  <c r="IQ28" i="15"/>
  <c r="IR28" i="15"/>
  <c r="IS28" i="15"/>
  <c r="IT28" i="15"/>
  <c r="IU28" i="15"/>
  <c r="IV28" i="15"/>
  <c r="IW28" i="15"/>
  <c r="IX28" i="15"/>
  <c r="IY28" i="15"/>
  <c r="IZ28" i="15"/>
  <c r="GB29" i="15"/>
  <c r="GC29" i="15"/>
  <c r="GD29" i="15"/>
  <c r="GE29" i="15"/>
  <c r="GF29" i="15"/>
  <c r="GG29" i="15"/>
  <c r="GH29" i="15"/>
  <c r="GI29" i="15"/>
  <c r="GJ29" i="15"/>
  <c r="GK29" i="15"/>
  <c r="GL29" i="15"/>
  <c r="GM29" i="15"/>
  <c r="GN29" i="15"/>
  <c r="GO29" i="15"/>
  <c r="GP29" i="15"/>
  <c r="GQ29" i="15"/>
  <c r="GR29" i="15"/>
  <c r="GS29" i="15"/>
  <c r="GT29" i="15"/>
  <c r="GU29" i="15"/>
  <c r="GV29" i="15"/>
  <c r="GW29" i="15"/>
  <c r="GX29" i="15"/>
  <c r="GY29" i="15"/>
  <c r="GZ29" i="15"/>
  <c r="HA29" i="15"/>
  <c r="HB29" i="15"/>
  <c r="HC29" i="15"/>
  <c r="HD29" i="15"/>
  <c r="HE29" i="15"/>
  <c r="HF29" i="15"/>
  <c r="HG29" i="15"/>
  <c r="HH29" i="15"/>
  <c r="HI29" i="15"/>
  <c r="HJ29" i="15"/>
  <c r="HK29" i="15"/>
  <c r="HL29" i="15"/>
  <c r="HM29" i="15"/>
  <c r="HN29" i="15"/>
  <c r="HO29" i="15"/>
  <c r="HP29" i="15"/>
  <c r="HQ29" i="15"/>
  <c r="HR29" i="15"/>
  <c r="HS29" i="15"/>
  <c r="HT29" i="15"/>
  <c r="HU29" i="15"/>
  <c r="HV29" i="15"/>
  <c r="HW29" i="15"/>
  <c r="HX29" i="15"/>
  <c r="HY29" i="15"/>
  <c r="HZ29" i="15"/>
  <c r="IA29" i="15"/>
  <c r="IB29" i="15"/>
  <c r="IC29" i="15"/>
  <c r="ID29" i="15"/>
  <c r="IE29" i="15"/>
  <c r="IF29" i="15"/>
  <c r="IG29" i="15"/>
  <c r="IH29" i="15"/>
  <c r="II29" i="15"/>
  <c r="IJ29" i="15"/>
  <c r="IK29" i="15"/>
  <c r="IL29" i="15"/>
  <c r="IM29" i="15"/>
  <c r="IN29" i="15"/>
  <c r="IO29" i="15"/>
  <c r="IP29" i="15"/>
  <c r="IQ29" i="15"/>
  <c r="IR29" i="15"/>
  <c r="IS29" i="15"/>
  <c r="IT29" i="15"/>
  <c r="IU29" i="15"/>
  <c r="IV29" i="15"/>
  <c r="IW29" i="15"/>
  <c r="IX29" i="15"/>
  <c r="IY29" i="15"/>
  <c r="IZ29" i="15"/>
  <c r="GB30" i="15"/>
  <c r="GC30" i="15"/>
  <c r="GD30" i="15"/>
  <c r="GE30" i="15"/>
  <c r="GF30" i="15"/>
  <c r="GG30" i="15"/>
  <c r="GH30" i="15"/>
  <c r="GI30" i="15"/>
  <c r="GJ30" i="15"/>
  <c r="GK30" i="15"/>
  <c r="GL30" i="15"/>
  <c r="GM30" i="15"/>
  <c r="GN30" i="15"/>
  <c r="GO30" i="15"/>
  <c r="GP30" i="15"/>
  <c r="GQ30" i="15"/>
  <c r="GR30" i="15"/>
  <c r="GS30" i="15"/>
  <c r="GT30" i="15"/>
  <c r="GU30" i="15"/>
  <c r="GV30" i="15"/>
  <c r="GW30" i="15"/>
  <c r="GX30" i="15"/>
  <c r="GY30" i="15"/>
  <c r="GZ30" i="15"/>
  <c r="HA30" i="15"/>
  <c r="HB30" i="15"/>
  <c r="HC30" i="15"/>
  <c r="HD30" i="15"/>
  <c r="HE30" i="15"/>
  <c r="HF30" i="15"/>
  <c r="HG30" i="15"/>
  <c r="HH30" i="15"/>
  <c r="HI30" i="15"/>
  <c r="HJ30" i="15"/>
  <c r="HK30" i="15"/>
  <c r="HL30" i="15"/>
  <c r="HM30" i="15"/>
  <c r="HN30" i="15"/>
  <c r="HO30" i="15"/>
  <c r="HP30" i="15"/>
  <c r="HQ30" i="15"/>
  <c r="HR30" i="15"/>
  <c r="HS30" i="15"/>
  <c r="HT30" i="15"/>
  <c r="HU30" i="15"/>
  <c r="HV30" i="15"/>
  <c r="HW30" i="15"/>
  <c r="HX30" i="15"/>
  <c r="HY30" i="15"/>
  <c r="HZ30" i="15"/>
  <c r="IA30" i="15"/>
  <c r="IB30" i="15"/>
  <c r="IC30" i="15"/>
  <c r="ID30" i="15"/>
  <c r="IE30" i="15"/>
  <c r="IF30" i="15"/>
  <c r="IG30" i="15"/>
  <c r="IH30" i="15"/>
  <c r="II30" i="15"/>
  <c r="IJ30" i="15"/>
  <c r="IK30" i="15"/>
  <c r="IL30" i="15"/>
  <c r="IM30" i="15"/>
  <c r="IN30" i="15"/>
  <c r="IO30" i="15"/>
  <c r="IP30" i="15"/>
  <c r="IQ30" i="15"/>
  <c r="IR30" i="15"/>
  <c r="IS30" i="15"/>
  <c r="IT30" i="15"/>
  <c r="IU30" i="15"/>
  <c r="IV30" i="15"/>
  <c r="IW30" i="15"/>
  <c r="IX30" i="15"/>
  <c r="IY30" i="15"/>
  <c r="IZ30" i="15"/>
  <c r="D152" i="9"/>
  <c r="F34" i="8" s="1"/>
  <c r="K84" i="9"/>
  <c r="D137" i="9"/>
  <c r="D149" i="9" s="1"/>
  <c r="F29" i="8" s="1"/>
  <c r="S120" i="9"/>
  <c r="U120" i="9" s="1"/>
  <c r="U118" i="9"/>
  <c r="S113" i="9"/>
  <c r="U113" i="9" s="1"/>
  <c r="U112" i="9"/>
  <c r="V74" i="9"/>
  <c r="U74" i="9"/>
  <c r="V72" i="9"/>
  <c r="V71" i="9"/>
  <c r="U71" i="9"/>
  <c r="V70" i="9"/>
  <c r="U70" i="9"/>
  <c r="V52" i="9"/>
  <c r="U52" i="9"/>
  <c r="V51" i="9"/>
  <c r="U51" i="9"/>
  <c r="V50" i="9"/>
  <c r="U50" i="9"/>
  <c r="D49" i="9"/>
  <c r="V45" i="9"/>
  <c r="U45" i="9"/>
  <c r="U41" i="9"/>
  <c r="V40" i="9"/>
  <c r="U40" i="9"/>
  <c r="V38" i="9"/>
  <c r="U38" i="9"/>
  <c r="V36" i="9"/>
  <c r="U36" i="9"/>
  <c r="V34" i="9"/>
  <c r="U34" i="9"/>
  <c r="V33" i="9"/>
  <c r="U33" i="9"/>
  <c r="D32" i="9"/>
  <c r="V31" i="9"/>
  <c r="V29" i="9"/>
  <c r="V28" i="9"/>
  <c r="V49" i="9" l="1"/>
  <c r="W49" i="9"/>
  <c r="D148" i="9"/>
  <c r="X46" i="9"/>
  <c r="X73" i="9"/>
  <c r="D31" i="16"/>
  <c r="F18" i="8"/>
  <c r="X35" i="9"/>
  <c r="X27" i="9"/>
  <c r="X30" i="9"/>
  <c r="X119" i="9"/>
  <c r="X70" i="9"/>
  <c r="T120" i="9"/>
  <c r="T113" i="9"/>
  <c r="V113" i="9" s="1"/>
  <c r="X113" i="9" s="1"/>
  <c r="X74" i="9"/>
  <c r="X71" i="9"/>
  <c r="X72" i="9"/>
  <c r="X52" i="9"/>
  <c r="X45" i="9"/>
  <c r="X51" i="9"/>
  <c r="X50" i="9"/>
  <c r="U49" i="9"/>
  <c r="X49" i="9" s="1"/>
  <c r="X40" i="9"/>
  <c r="X28" i="9"/>
  <c r="X38" i="9"/>
  <c r="X34" i="9"/>
  <c r="X33" i="9"/>
  <c r="X36" i="9"/>
  <c r="X29" i="9"/>
  <c r="X31" i="9"/>
  <c r="F28" i="8" l="1"/>
  <c r="D160" i="9"/>
  <c r="V120" i="9"/>
  <c r="X120" i="9" s="1"/>
  <c r="AF26" i="15"/>
  <c r="AG26" i="15"/>
  <c r="AH26" i="15"/>
  <c r="AI26" i="15"/>
  <c r="AJ26" i="15"/>
  <c r="AK26" i="15"/>
  <c r="AL26" i="15"/>
  <c r="AM26" i="15"/>
  <c r="AN26" i="15"/>
  <c r="AO26" i="15"/>
  <c r="AP26" i="15"/>
  <c r="AQ26" i="15"/>
  <c r="AR26" i="15"/>
  <c r="AS26" i="15"/>
  <c r="AT26" i="15"/>
  <c r="AU26" i="15"/>
  <c r="AV26" i="15"/>
  <c r="AW26" i="15"/>
  <c r="AX26" i="15"/>
  <c r="AY26" i="15"/>
  <c r="AZ26" i="15"/>
  <c r="BA26" i="15"/>
  <c r="BB26" i="15"/>
  <c r="BC26" i="15"/>
  <c r="BD26" i="15"/>
  <c r="BE26" i="15"/>
  <c r="BF26" i="15"/>
  <c r="BG26" i="15"/>
  <c r="BH26" i="15"/>
  <c r="BI26" i="15"/>
  <c r="BJ26" i="15"/>
  <c r="BK26" i="15"/>
  <c r="BL26" i="15"/>
  <c r="BM26" i="15"/>
  <c r="BN26" i="15"/>
  <c r="BO26" i="15"/>
  <c r="BP26" i="15"/>
  <c r="BQ26" i="15"/>
  <c r="BR26" i="15"/>
  <c r="BS26" i="15"/>
  <c r="BT26" i="15"/>
  <c r="BU26" i="15"/>
  <c r="BV26" i="15"/>
  <c r="BW26" i="15"/>
  <c r="BX26" i="15"/>
  <c r="BY26" i="15"/>
  <c r="BZ26" i="15"/>
  <c r="CA26" i="15"/>
  <c r="CB26" i="15"/>
  <c r="CC26" i="15"/>
  <c r="CD26" i="15"/>
  <c r="CE26" i="15"/>
  <c r="CF26" i="15"/>
  <c r="CG26" i="15"/>
  <c r="CH26" i="15"/>
  <c r="CI26" i="15"/>
  <c r="CJ26" i="15"/>
  <c r="CK26" i="15"/>
  <c r="CL26" i="15"/>
  <c r="CM26" i="15"/>
  <c r="CN26" i="15"/>
  <c r="CO26" i="15"/>
  <c r="CP26" i="15"/>
  <c r="CQ26" i="15"/>
  <c r="CR26" i="15"/>
  <c r="CS26" i="15"/>
  <c r="CT26" i="15"/>
  <c r="CU26" i="15"/>
  <c r="CV26" i="15"/>
  <c r="CW26" i="15"/>
  <c r="CX26" i="15"/>
  <c r="CY26" i="15"/>
  <c r="CZ26" i="15"/>
  <c r="DA26" i="15"/>
  <c r="DB26" i="15"/>
  <c r="DC26" i="15"/>
  <c r="DD26" i="15"/>
  <c r="DE26" i="15"/>
  <c r="DF26" i="15"/>
  <c r="DG26" i="15"/>
  <c r="DH26" i="15"/>
  <c r="DI26" i="15"/>
  <c r="DJ26" i="15"/>
  <c r="DK26" i="15"/>
  <c r="DL26" i="15"/>
  <c r="DM26" i="15"/>
  <c r="DN26" i="15"/>
  <c r="DO26" i="15"/>
  <c r="DP26" i="15"/>
  <c r="DQ26" i="15"/>
  <c r="DR26" i="15"/>
  <c r="DS26" i="15"/>
  <c r="DT26" i="15"/>
  <c r="DU26" i="15"/>
  <c r="DV26" i="15"/>
  <c r="DW26" i="15"/>
  <c r="DX26" i="15"/>
  <c r="DY26" i="15"/>
  <c r="DZ26" i="15"/>
  <c r="EA26" i="15"/>
  <c r="EB26" i="15"/>
  <c r="EC26" i="15"/>
  <c r="ED26" i="15"/>
  <c r="EE26" i="15"/>
  <c r="EF26" i="15"/>
  <c r="EG26" i="15"/>
  <c r="EH26" i="15"/>
  <c r="EI26" i="15"/>
  <c r="EJ26" i="15"/>
  <c r="EK26" i="15"/>
  <c r="EL26" i="15"/>
  <c r="EM26" i="15"/>
  <c r="EN26" i="15"/>
  <c r="EO26" i="15"/>
  <c r="EP26" i="15"/>
  <c r="EQ26" i="15"/>
  <c r="ER26" i="15"/>
  <c r="ES26" i="15"/>
  <c r="ET26" i="15"/>
  <c r="EU26" i="15"/>
  <c r="EV26" i="15"/>
  <c r="EW26" i="15"/>
  <c r="EX26" i="15"/>
  <c r="EY26" i="15"/>
  <c r="EZ26" i="15"/>
  <c r="FA26" i="15"/>
  <c r="FB26" i="15"/>
  <c r="FC26" i="15"/>
  <c r="FD26" i="15"/>
  <c r="FE26" i="15"/>
  <c r="FF26" i="15"/>
  <c r="FG26" i="15"/>
  <c r="FH26" i="15"/>
  <c r="FI26" i="15"/>
  <c r="FJ26" i="15"/>
  <c r="FK26" i="15"/>
  <c r="FL26" i="15"/>
  <c r="FM26" i="15"/>
  <c r="FN26" i="15"/>
  <c r="FO26" i="15"/>
  <c r="FP26" i="15"/>
  <c r="FQ26" i="15"/>
  <c r="FR26" i="15"/>
  <c r="FS26" i="15"/>
  <c r="FT26" i="15"/>
  <c r="FU26" i="15"/>
  <c r="FV26" i="15"/>
  <c r="FW26" i="15"/>
  <c r="FX26" i="15"/>
  <c r="FY26" i="15"/>
  <c r="FZ26" i="15"/>
  <c r="GA26" i="15"/>
  <c r="AF27" i="15"/>
  <c r="AG27" i="15"/>
  <c r="AH27" i="15"/>
  <c r="AI27" i="15"/>
  <c r="AJ27" i="15"/>
  <c r="AK27" i="15"/>
  <c r="AL27" i="15"/>
  <c r="AM27" i="15"/>
  <c r="AN27" i="15"/>
  <c r="AO27" i="15"/>
  <c r="AP27" i="15"/>
  <c r="AQ27" i="15"/>
  <c r="AR27" i="15"/>
  <c r="AS27" i="15"/>
  <c r="AT27" i="15"/>
  <c r="AU27" i="15"/>
  <c r="AV27" i="15"/>
  <c r="AW27" i="15"/>
  <c r="AX27" i="15"/>
  <c r="AY27" i="15"/>
  <c r="AZ27" i="15"/>
  <c r="BA27" i="15"/>
  <c r="BB27" i="15"/>
  <c r="BC27" i="15"/>
  <c r="BD27" i="15"/>
  <c r="BE27" i="15"/>
  <c r="BF27" i="15"/>
  <c r="BG27" i="15"/>
  <c r="BH27" i="15"/>
  <c r="BI27" i="15"/>
  <c r="BJ27" i="15"/>
  <c r="BK27" i="15"/>
  <c r="BL27" i="15"/>
  <c r="BM27" i="15"/>
  <c r="BN27" i="15"/>
  <c r="BO27" i="15"/>
  <c r="BP27" i="15"/>
  <c r="BQ27" i="15"/>
  <c r="BR27" i="15"/>
  <c r="BS27" i="15"/>
  <c r="BT27" i="15"/>
  <c r="BU27" i="15"/>
  <c r="BV27" i="15"/>
  <c r="BW27" i="15"/>
  <c r="BX27" i="15"/>
  <c r="BY27" i="15"/>
  <c r="BZ27" i="15"/>
  <c r="CA27" i="15"/>
  <c r="CB27" i="15"/>
  <c r="CC27" i="15"/>
  <c r="CD27" i="15"/>
  <c r="CE27" i="15"/>
  <c r="CF27" i="15"/>
  <c r="CG27" i="15"/>
  <c r="CH27" i="15"/>
  <c r="CI27" i="15"/>
  <c r="CJ27" i="15"/>
  <c r="CK27" i="15"/>
  <c r="CL27" i="15"/>
  <c r="CM27" i="15"/>
  <c r="CN27" i="15"/>
  <c r="CO27" i="15"/>
  <c r="CP27" i="15"/>
  <c r="CQ27" i="15"/>
  <c r="CR27" i="15"/>
  <c r="CS27" i="15"/>
  <c r="CT27" i="15"/>
  <c r="CU27" i="15"/>
  <c r="CV27" i="15"/>
  <c r="CW27" i="15"/>
  <c r="CX27" i="15"/>
  <c r="CY27" i="15"/>
  <c r="CZ27" i="15"/>
  <c r="DA27" i="15"/>
  <c r="DB27" i="15"/>
  <c r="DC27" i="15"/>
  <c r="DD27" i="15"/>
  <c r="DE27" i="15"/>
  <c r="DF27" i="15"/>
  <c r="DG27" i="15"/>
  <c r="DH27" i="15"/>
  <c r="DI27" i="15"/>
  <c r="DJ27" i="15"/>
  <c r="DK27" i="15"/>
  <c r="DL27" i="15"/>
  <c r="DM27" i="15"/>
  <c r="DN27" i="15"/>
  <c r="DO27" i="15"/>
  <c r="DP27" i="15"/>
  <c r="DQ27" i="15"/>
  <c r="DR27" i="15"/>
  <c r="DS27" i="15"/>
  <c r="DT27" i="15"/>
  <c r="DU27" i="15"/>
  <c r="DV27" i="15"/>
  <c r="DW27" i="15"/>
  <c r="DX27" i="15"/>
  <c r="DY27" i="15"/>
  <c r="DZ27" i="15"/>
  <c r="EA27" i="15"/>
  <c r="EB27" i="15"/>
  <c r="EC27" i="15"/>
  <c r="ED27" i="15"/>
  <c r="EE27" i="15"/>
  <c r="EF27" i="15"/>
  <c r="EG27" i="15"/>
  <c r="EH27" i="15"/>
  <c r="EI27" i="15"/>
  <c r="EJ27" i="15"/>
  <c r="EK27" i="15"/>
  <c r="EL27" i="15"/>
  <c r="EM27" i="15"/>
  <c r="EN27" i="15"/>
  <c r="EO27" i="15"/>
  <c r="EP27" i="15"/>
  <c r="EQ27" i="15"/>
  <c r="ER27" i="15"/>
  <c r="ES27" i="15"/>
  <c r="ET27" i="15"/>
  <c r="EU27" i="15"/>
  <c r="EV27" i="15"/>
  <c r="EW27" i="15"/>
  <c r="EX27" i="15"/>
  <c r="EY27" i="15"/>
  <c r="EZ27" i="15"/>
  <c r="FA27" i="15"/>
  <c r="FB27" i="15"/>
  <c r="FC27" i="15"/>
  <c r="FD27" i="15"/>
  <c r="FE27" i="15"/>
  <c r="FF27" i="15"/>
  <c r="FG27" i="15"/>
  <c r="FH27" i="15"/>
  <c r="FI27" i="15"/>
  <c r="FJ27" i="15"/>
  <c r="FK27" i="15"/>
  <c r="FL27" i="15"/>
  <c r="FM27" i="15"/>
  <c r="FN27" i="15"/>
  <c r="FO27" i="15"/>
  <c r="FP27" i="15"/>
  <c r="FQ27" i="15"/>
  <c r="FR27" i="15"/>
  <c r="FS27" i="15"/>
  <c r="FT27" i="15"/>
  <c r="FU27" i="15"/>
  <c r="FV27" i="15"/>
  <c r="FW27" i="15"/>
  <c r="FX27" i="15"/>
  <c r="FY27" i="15"/>
  <c r="FZ27" i="15"/>
  <c r="GA27" i="15"/>
  <c r="E41" i="15"/>
  <c r="E40" i="15"/>
  <c r="D41" i="15"/>
  <c r="D40" i="15"/>
  <c r="C41" i="15"/>
  <c r="C40" i="15"/>
  <c r="B41" i="15"/>
  <c r="B40" i="15"/>
  <c r="D103" i="9"/>
  <c r="T103" i="9"/>
  <c r="S103" i="9"/>
  <c r="U97" i="9"/>
  <c r="U94" i="9"/>
  <c r="S96" i="9"/>
  <c r="T96" i="9"/>
  <c r="V103" i="9" l="1"/>
  <c r="U103" i="9"/>
  <c r="U96" i="9"/>
  <c r="V96" i="9"/>
  <c r="T55" i="9"/>
  <c r="F22" i="8"/>
  <c r="V62" i="9"/>
  <c r="U62" i="9"/>
  <c r="D63" i="9"/>
  <c r="D162" i="9" s="1"/>
  <c r="AH70" i="9" l="1"/>
  <c r="AH78" i="9"/>
  <c r="AH71" i="9"/>
  <c r="AH79" i="9"/>
  <c r="AH72" i="9"/>
  <c r="AH68" i="9"/>
  <c r="AH73" i="9"/>
  <c r="AH74" i="9"/>
  <c r="AH75" i="9"/>
  <c r="AH76" i="9"/>
  <c r="AH77" i="9"/>
  <c r="AH69" i="9"/>
  <c r="X96" i="9"/>
  <c r="X103" i="9"/>
  <c r="U63" i="9"/>
  <c r="X62" i="9"/>
  <c r="V63" i="9"/>
  <c r="X63" i="9" l="1"/>
  <c r="G16" i="8"/>
  <c r="W20" i="9"/>
  <c r="V20" i="9"/>
  <c r="U20" i="9"/>
  <c r="X20" i="9" s="1"/>
  <c r="V80" i="9" l="1"/>
  <c r="U80" i="9"/>
  <c r="V79" i="9"/>
  <c r="V78" i="9"/>
  <c r="U78" i="9"/>
  <c r="V77" i="9"/>
  <c r="V76" i="9"/>
  <c r="U76" i="9"/>
  <c r="V75" i="9"/>
  <c r="V69" i="9"/>
  <c r="U69" i="9"/>
  <c r="V68" i="9"/>
  <c r="U68" i="9"/>
  <c r="X68" i="9" l="1"/>
  <c r="X76" i="9"/>
  <c r="X69" i="9"/>
  <c r="X77" i="9"/>
  <c r="X79" i="9"/>
  <c r="X78" i="9"/>
  <c r="K85" i="9" l="1"/>
  <c r="K86" i="9" l="1"/>
  <c r="I80" i="9"/>
  <c r="AH80" i="9" s="1"/>
  <c r="D156" i="9" l="1"/>
  <c r="D155" i="9"/>
  <c r="D87" i="9"/>
  <c r="K87" i="9"/>
  <c r="E39" i="15" l="1"/>
  <c r="E38" i="15"/>
  <c r="E37" i="15"/>
  <c r="E36" i="15"/>
  <c r="U115" i="9" l="1"/>
  <c r="U110" i="9"/>
  <c r="V101" i="9"/>
  <c r="V104" i="9"/>
  <c r="U104" i="9"/>
  <c r="U101" i="9"/>
  <c r="V94" i="9"/>
  <c r="V97" i="9"/>
  <c r="K3" i="16" l="1"/>
  <c r="K21" i="16"/>
  <c r="U93" i="9" l="1"/>
  <c r="U100" i="9"/>
  <c r="S102" i="9" l="1"/>
  <c r="U102" i="9" s="1"/>
  <c r="B39" i="15"/>
  <c r="B38" i="15"/>
  <c r="B37" i="15"/>
  <c r="B36" i="15"/>
  <c r="AB25" i="15" l="1"/>
  <c r="T25" i="15"/>
  <c r="L25" i="15"/>
  <c r="D25" i="15"/>
  <c r="AA25" i="15"/>
  <c r="S25" i="15"/>
  <c r="K25" i="15"/>
  <c r="Z25" i="15"/>
  <c r="R25" i="15"/>
  <c r="J25" i="15"/>
  <c r="Y25" i="15"/>
  <c r="I25" i="15"/>
  <c r="X25" i="15"/>
  <c r="P25" i="15"/>
  <c r="H25" i="15"/>
  <c r="AE25" i="15"/>
  <c r="O25" i="15"/>
  <c r="G25" i="15"/>
  <c r="V25" i="15"/>
  <c r="N25" i="15"/>
  <c r="AC25" i="15"/>
  <c r="E25" i="15"/>
  <c r="Q25" i="15"/>
  <c r="W25" i="15"/>
  <c r="AD25" i="15"/>
  <c r="U25" i="15"/>
  <c r="M25" i="15"/>
  <c r="F25" i="15"/>
  <c r="T102" i="9"/>
  <c r="X104" i="9"/>
  <c r="X101" i="9"/>
  <c r="V102" i="9" l="1"/>
  <c r="X102" i="9" s="1"/>
  <c r="GA30" i="15"/>
  <c r="FZ30" i="15"/>
  <c r="FY30" i="15"/>
  <c r="FX30" i="15"/>
  <c r="FW30" i="15"/>
  <c r="FV30" i="15"/>
  <c r="FU30" i="15"/>
  <c r="FT30" i="15"/>
  <c r="FS30" i="15"/>
  <c r="FR30" i="15"/>
  <c r="FQ30" i="15"/>
  <c r="FP30" i="15"/>
  <c r="FO30" i="15"/>
  <c r="FN30" i="15"/>
  <c r="FM30" i="15"/>
  <c r="FL30" i="15"/>
  <c r="FK30" i="15"/>
  <c r="FJ30" i="15"/>
  <c r="FI30" i="15"/>
  <c r="FH30" i="15"/>
  <c r="FG30" i="15"/>
  <c r="FF30" i="15"/>
  <c r="FE30" i="15"/>
  <c r="FD30" i="15"/>
  <c r="FC30" i="15"/>
  <c r="FB30" i="15"/>
  <c r="FA30" i="15"/>
  <c r="EZ30" i="15"/>
  <c r="EY30" i="15"/>
  <c r="EX30" i="15"/>
  <c r="EW30" i="15"/>
  <c r="EV30" i="15"/>
  <c r="EU30" i="15"/>
  <c r="ET30" i="15"/>
  <c r="ES30" i="15"/>
  <c r="ER30" i="15"/>
  <c r="EQ30" i="15"/>
  <c r="EP30" i="15"/>
  <c r="EO30" i="15"/>
  <c r="EN30" i="15"/>
  <c r="EM30" i="15"/>
  <c r="EL30" i="15"/>
  <c r="EK30" i="15"/>
  <c r="EJ30" i="15"/>
  <c r="EI30" i="15"/>
  <c r="EH30" i="15"/>
  <c r="EG30" i="15"/>
  <c r="EF30" i="15"/>
  <c r="EE30" i="15"/>
  <c r="ED30" i="15"/>
  <c r="EC30" i="15"/>
  <c r="EB30" i="15"/>
  <c r="EA30" i="15"/>
  <c r="DZ30" i="15"/>
  <c r="DY30" i="15"/>
  <c r="DX30" i="15"/>
  <c r="DW30" i="15"/>
  <c r="DV30" i="15"/>
  <c r="DU30" i="15"/>
  <c r="DT30" i="15"/>
  <c r="DS30" i="15"/>
  <c r="DR30" i="15"/>
  <c r="DQ30" i="15"/>
  <c r="DP30" i="15"/>
  <c r="DO30" i="15"/>
  <c r="DN30" i="15"/>
  <c r="DM30" i="15"/>
  <c r="DL30" i="15"/>
  <c r="DK30" i="15"/>
  <c r="DJ30" i="15"/>
  <c r="DI30" i="15"/>
  <c r="DH30" i="15"/>
  <c r="DG30" i="15"/>
  <c r="DF30" i="15"/>
  <c r="DE30" i="15"/>
  <c r="DD30" i="15"/>
  <c r="DC30" i="15"/>
  <c r="DB30" i="15"/>
  <c r="DA30" i="15"/>
  <c r="CZ30" i="15"/>
  <c r="CY30" i="15"/>
  <c r="CX30" i="15"/>
  <c r="CW30" i="15"/>
  <c r="CV30" i="15"/>
  <c r="CU30" i="15"/>
  <c r="CT30" i="15"/>
  <c r="CS30" i="15"/>
  <c r="CR30" i="15"/>
  <c r="CQ30" i="15"/>
  <c r="CP30" i="15"/>
  <c r="CO30" i="15"/>
  <c r="CN30" i="15"/>
  <c r="CM30" i="15"/>
  <c r="CL30" i="15"/>
  <c r="CK30" i="15"/>
  <c r="CJ30" i="15"/>
  <c r="CI30" i="15"/>
  <c r="CH30" i="15"/>
  <c r="CG30" i="15"/>
  <c r="CF30" i="15"/>
  <c r="CE30" i="15"/>
  <c r="CD30" i="15"/>
  <c r="CC30" i="15"/>
  <c r="CB30" i="15"/>
  <c r="CA30" i="15"/>
  <c r="BZ30" i="15"/>
  <c r="BY30" i="15"/>
  <c r="BX30" i="15"/>
  <c r="BW30" i="15"/>
  <c r="BV30" i="15"/>
  <c r="BU30" i="15"/>
  <c r="BT30" i="15"/>
  <c r="BS30" i="15"/>
  <c r="BR30" i="15"/>
  <c r="BQ30" i="15"/>
  <c r="BP30" i="15"/>
  <c r="BO30" i="15"/>
  <c r="BN30" i="15"/>
  <c r="BM30" i="15"/>
  <c r="BL30" i="15"/>
  <c r="BK30" i="15"/>
  <c r="BJ30" i="15"/>
  <c r="BI30" i="15"/>
  <c r="BH30" i="15"/>
  <c r="BG30" i="15"/>
  <c r="BF30" i="15"/>
  <c r="BE30" i="15"/>
  <c r="BD30" i="15"/>
  <c r="BC30" i="15"/>
  <c r="BB30" i="15"/>
  <c r="BA30" i="15"/>
  <c r="AZ30" i="15"/>
  <c r="AY30" i="15"/>
  <c r="AX30" i="15"/>
  <c r="AW30" i="15"/>
  <c r="AV30" i="15"/>
  <c r="AU30" i="15"/>
  <c r="AT30" i="15"/>
  <c r="AS30" i="15"/>
  <c r="AR30" i="15"/>
  <c r="AQ30" i="15"/>
  <c r="AP30" i="15"/>
  <c r="AO30" i="15"/>
  <c r="AN30" i="15"/>
  <c r="AM30" i="15"/>
  <c r="AL30" i="15"/>
  <c r="AK30" i="15"/>
  <c r="AJ30" i="15"/>
  <c r="AI30" i="15"/>
  <c r="AH30" i="15"/>
  <c r="AG30" i="15"/>
  <c r="AF30" i="15"/>
  <c r="GA29" i="15"/>
  <c r="FZ29" i="15"/>
  <c r="FY29" i="15"/>
  <c r="FX29" i="15"/>
  <c r="FW29" i="15"/>
  <c r="FV29" i="15"/>
  <c r="FU29" i="15"/>
  <c r="FT29" i="15"/>
  <c r="FS29" i="15"/>
  <c r="FR29" i="15"/>
  <c r="FQ29" i="15"/>
  <c r="FP29" i="15"/>
  <c r="FO29" i="15"/>
  <c r="FN29" i="15"/>
  <c r="FM29" i="15"/>
  <c r="FL29" i="15"/>
  <c r="FK29" i="15"/>
  <c r="FJ29" i="15"/>
  <c r="FI29" i="15"/>
  <c r="FH29" i="15"/>
  <c r="FG29" i="15"/>
  <c r="FF29" i="15"/>
  <c r="FE29" i="15"/>
  <c r="FD29" i="15"/>
  <c r="FC29" i="15"/>
  <c r="FB29" i="15"/>
  <c r="FA29" i="15"/>
  <c r="EZ29" i="15"/>
  <c r="EY29" i="15"/>
  <c r="EX29" i="15"/>
  <c r="EW29" i="15"/>
  <c r="EV29" i="15"/>
  <c r="EU29" i="15"/>
  <c r="ET29" i="15"/>
  <c r="ES29" i="15"/>
  <c r="ER29" i="15"/>
  <c r="EQ29" i="15"/>
  <c r="EP29" i="15"/>
  <c r="EO29" i="15"/>
  <c r="EN29" i="15"/>
  <c r="EM29" i="15"/>
  <c r="EL29" i="15"/>
  <c r="EK29" i="15"/>
  <c r="EJ29" i="15"/>
  <c r="EI29" i="15"/>
  <c r="EH29" i="15"/>
  <c r="EG29" i="15"/>
  <c r="EF29" i="15"/>
  <c r="EE29" i="15"/>
  <c r="ED29" i="15"/>
  <c r="EC29" i="15"/>
  <c r="EB29" i="15"/>
  <c r="EA29" i="15"/>
  <c r="DZ29" i="15"/>
  <c r="DY29" i="15"/>
  <c r="DX29" i="15"/>
  <c r="DW29" i="15"/>
  <c r="DV29" i="15"/>
  <c r="DU29" i="15"/>
  <c r="DT29" i="15"/>
  <c r="DS29" i="15"/>
  <c r="DR29" i="15"/>
  <c r="DQ29" i="15"/>
  <c r="DP29" i="15"/>
  <c r="DO29" i="15"/>
  <c r="DN29" i="15"/>
  <c r="DM29" i="15"/>
  <c r="DL29" i="15"/>
  <c r="DK29" i="15"/>
  <c r="DJ29" i="15"/>
  <c r="DI29" i="15"/>
  <c r="DH29" i="15"/>
  <c r="DG29" i="15"/>
  <c r="DF29" i="15"/>
  <c r="DE29" i="15"/>
  <c r="DD29" i="15"/>
  <c r="DC29" i="15"/>
  <c r="DB29" i="15"/>
  <c r="DA29" i="15"/>
  <c r="CZ29" i="15"/>
  <c r="CY29" i="15"/>
  <c r="CX29" i="15"/>
  <c r="CW29" i="15"/>
  <c r="CV29" i="15"/>
  <c r="CU29" i="15"/>
  <c r="CT29" i="15"/>
  <c r="CS29" i="15"/>
  <c r="CR29" i="15"/>
  <c r="CQ29" i="15"/>
  <c r="CP29" i="15"/>
  <c r="CO29" i="15"/>
  <c r="CN29" i="15"/>
  <c r="CM29" i="15"/>
  <c r="CL29" i="15"/>
  <c r="CK29" i="15"/>
  <c r="CJ29" i="15"/>
  <c r="CI29" i="15"/>
  <c r="CH29" i="15"/>
  <c r="CG29" i="15"/>
  <c r="CF29" i="15"/>
  <c r="CE29" i="15"/>
  <c r="CD29" i="15"/>
  <c r="CC29" i="15"/>
  <c r="CB29" i="15"/>
  <c r="CA29" i="15"/>
  <c r="BZ29" i="15"/>
  <c r="BY29" i="15"/>
  <c r="BX29" i="15"/>
  <c r="BW29" i="15"/>
  <c r="BV29" i="15"/>
  <c r="BU29" i="15"/>
  <c r="BT29" i="15"/>
  <c r="BS29" i="15"/>
  <c r="BR29" i="15"/>
  <c r="BQ29" i="15"/>
  <c r="BP29" i="15"/>
  <c r="BO29" i="15"/>
  <c r="BN29" i="15"/>
  <c r="BM29" i="15"/>
  <c r="BL29" i="15"/>
  <c r="BK29" i="15"/>
  <c r="BJ29" i="15"/>
  <c r="BI29" i="15"/>
  <c r="BH29" i="15"/>
  <c r="BG29" i="15"/>
  <c r="BF29" i="15"/>
  <c r="BE29" i="15"/>
  <c r="BD29" i="15"/>
  <c r="BC29" i="15"/>
  <c r="BB29" i="15"/>
  <c r="BA29" i="15"/>
  <c r="AZ29" i="15"/>
  <c r="AY29" i="15"/>
  <c r="AX29" i="15"/>
  <c r="AW29" i="15"/>
  <c r="AV29" i="15"/>
  <c r="AU29" i="15"/>
  <c r="AT29" i="15"/>
  <c r="AS29" i="15"/>
  <c r="AR29" i="15"/>
  <c r="AQ29" i="15"/>
  <c r="AP29" i="15"/>
  <c r="AO29" i="15"/>
  <c r="AN29" i="15"/>
  <c r="AM29" i="15"/>
  <c r="AL29" i="15"/>
  <c r="AK29" i="15"/>
  <c r="AJ29" i="15"/>
  <c r="AI29" i="15"/>
  <c r="AH29" i="15"/>
  <c r="AG29" i="15"/>
  <c r="AF29" i="15"/>
  <c r="GA28" i="15"/>
  <c r="FZ28" i="15"/>
  <c r="FY28" i="15"/>
  <c r="FX28" i="15"/>
  <c r="FW28" i="15"/>
  <c r="FV28" i="15"/>
  <c r="FU28" i="15"/>
  <c r="FT28" i="15"/>
  <c r="FS28" i="15"/>
  <c r="FR28" i="15"/>
  <c r="FQ28" i="15"/>
  <c r="FP28" i="15"/>
  <c r="FO28" i="15"/>
  <c r="FN28" i="15"/>
  <c r="FM28" i="15"/>
  <c r="FL28" i="15"/>
  <c r="FK28" i="15"/>
  <c r="FJ28" i="15"/>
  <c r="FI28" i="15"/>
  <c r="FH28" i="15"/>
  <c r="FG28" i="15"/>
  <c r="FF28" i="15"/>
  <c r="FE28" i="15"/>
  <c r="FD28" i="15"/>
  <c r="FC28" i="15"/>
  <c r="FB28" i="15"/>
  <c r="FA28" i="15"/>
  <c r="EZ28" i="15"/>
  <c r="EY28" i="15"/>
  <c r="EX28" i="15"/>
  <c r="EW28" i="15"/>
  <c r="EV28" i="15"/>
  <c r="EU28" i="15"/>
  <c r="ET28" i="15"/>
  <c r="ES28" i="15"/>
  <c r="ER28" i="15"/>
  <c r="EQ28" i="15"/>
  <c r="EP28" i="15"/>
  <c r="EO28" i="15"/>
  <c r="EN28" i="15"/>
  <c r="EM28" i="15"/>
  <c r="EL28" i="15"/>
  <c r="EK28" i="15"/>
  <c r="EJ28" i="15"/>
  <c r="EI28" i="15"/>
  <c r="EH28" i="15"/>
  <c r="EG28" i="15"/>
  <c r="EF28" i="15"/>
  <c r="EE28" i="15"/>
  <c r="ED28" i="15"/>
  <c r="EC28" i="15"/>
  <c r="EB28" i="15"/>
  <c r="EA28" i="15"/>
  <c r="DZ28" i="15"/>
  <c r="DY28" i="15"/>
  <c r="DX28" i="15"/>
  <c r="DW28" i="15"/>
  <c r="DV28" i="15"/>
  <c r="DU28" i="15"/>
  <c r="DT28" i="15"/>
  <c r="DS28" i="15"/>
  <c r="DR28" i="15"/>
  <c r="DQ28" i="15"/>
  <c r="DP28" i="15"/>
  <c r="DO28" i="15"/>
  <c r="DN28" i="15"/>
  <c r="DM28" i="15"/>
  <c r="DL28" i="15"/>
  <c r="DK28" i="15"/>
  <c r="DJ28" i="15"/>
  <c r="DI28" i="15"/>
  <c r="DH28" i="15"/>
  <c r="DG28" i="15"/>
  <c r="DF28" i="15"/>
  <c r="DE28" i="15"/>
  <c r="DD28" i="15"/>
  <c r="DC28" i="15"/>
  <c r="DB28" i="15"/>
  <c r="DA28" i="15"/>
  <c r="CZ28" i="15"/>
  <c r="CY28" i="15"/>
  <c r="CX28" i="15"/>
  <c r="CW28" i="15"/>
  <c r="CV28" i="15"/>
  <c r="CU28" i="15"/>
  <c r="CT28" i="15"/>
  <c r="CS28" i="15"/>
  <c r="CR28" i="15"/>
  <c r="CQ28" i="15"/>
  <c r="CP28" i="15"/>
  <c r="CO28" i="15"/>
  <c r="CN28" i="15"/>
  <c r="CM28" i="15"/>
  <c r="CL28" i="15"/>
  <c r="CK28" i="15"/>
  <c r="CJ28" i="15"/>
  <c r="CI28" i="15"/>
  <c r="CH28" i="15"/>
  <c r="CG28" i="15"/>
  <c r="CF28" i="15"/>
  <c r="CE28" i="15"/>
  <c r="CD28" i="15"/>
  <c r="CC28" i="15"/>
  <c r="CB28" i="15"/>
  <c r="CA28" i="15"/>
  <c r="BZ28" i="15"/>
  <c r="BY28" i="15"/>
  <c r="BX28" i="15"/>
  <c r="BW28" i="15"/>
  <c r="BV28" i="15"/>
  <c r="BU28" i="15"/>
  <c r="BT28" i="15"/>
  <c r="BS28" i="15"/>
  <c r="BR28" i="15"/>
  <c r="BQ28" i="15"/>
  <c r="BP28" i="15"/>
  <c r="BO28" i="15"/>
  <c r="BN28" i="15"/>
  <c r="BM28" i="15"/>
  <c r="BL28" i="15"/>
  <c r="BK28" i="15"/>
  <c r="BJ28" i="15"/>
  <c r="BI28" i="15"/>
  <c r="BH28" i="15"/>
  <c r="BG28" i="15"/>
  <c r="BF28" i="15"/>
  <c r="BE28" i="15"/>
  <c r="BD28" i="15"/>
  <c r="BC28"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D26" i="16"/>
  <c r="D23" i="16"/>
  <c r="D22" i="16"/>
  <c r="D18" i="16"/>
  <c r="D16" i="16"/>
  <c r="C10" i="16"/>
  <c r="C8" i="16"/>
  <c r="C7" i="16"/>
  <c r="C6" i="16"/>
  <c r="G23" i="8"/>
  <c r="G20" i="8"/>
  <c r="G22" i="8"/>
  <c r="D10" i="8"/>
  <c r="D10" i="6"/>
  <c r="U75" i="9"/>
  <c r="X75" i="9" s="1"/>
  <c r="D40" i="14"/>
  <c r="D39" i="14"/>
  <c r="D38" i="14"/>
  <c r="D37" i="14"/>
  <c r="D36" i="14"/>
  <c r="D35" i="14"/>
  <c r="D34" i="14"/>
  <c r="D33" i="14"/>
  <c r="D32" i="14"/>
  <c r="D31" i="14"/>
  <c r="D30" i="14"/>
  <c r="D29" i="14"/>
  <c r="D28" i="14"/>
  <c r="D27" i="14"/>
  <c r="D26" i="14"/>
  <c r="U22" i="9"/>
  <c r="X22" i="9" s="1"/>
  <c r="V22" i="9"/>
  <c r="S23" i="9"/>
  <c r="T23" i="9" s="1"/>
  <c r="V23" i="9" s="1"/>
  <c r="D62" i="14"/>
  <c r="F22" i="14"/>
  <c r="E22" i="14"/>
  <c r="E39" i="14" s="1"/>
  <c r="C22" i="14"/>
  <c r="C39" i="14" s="1"/>
  <c r="F9" i="14"/>
  <c r="E9" i="14"/>
  <c r="E26" i="14" s="1"/>
  <c r="C9" i="14"/>
  <c r="B45" i="14" s="1"/>
  <c r="F23" i="14"/>
  <c r="F21" i="14"/>
  <c r="F20" i="14"/>
  <c r="F19" i="14"/>
  <c r="F18" i="14"/>
  <c r="F17" i="14"/>
  <c r="F16" i="14"/>
  <c r="F15" i="14"/>
  <c r="F14" i="14"/>
  <c r="F13" i="14"/>
  <c r="F12" i="14"/>
  <c r="F11" i="14"/>
  <c r="F10" i="14"/>
  <c r="E23" i="14"/>
  <c r="E40" i="14" s="1"/>
  <c r="E21" i="14"/>
  <c r="E38" i="14" s="1"/>
  <c r="E20" i="14"/>
  <c r="E37" i="14" s="1"/>
  <c r="E19" i="14"/>
  <c r="E36" i="14" s="1"/>
  <c r="E18" i="14"/>
  <c r="E35" i="14" s="1"/>
  <c r="E17" i="14"/>
  <c r="E34" i="14" s="1"/>
  <c r="E16" i="14"/>
  <c r="E33" i="14" s="1"/>
  <c r="E15" i="14"/>
  <c r="E32" i="14" s="1"/>
  <c r="E14" i="14"/>
  <c r="E31" i="14" s="1"/>
  <c r="E13" i="14"/>
  <c r="E30" i="14" s="1"/>
  <c r="E12" i="14"/>
  <c r="E29" i="14" s="1"/>
  <c r="E11" i="14"/>
  <c r="E28" i="14" s="1"/>
  <c r="E10" i="14"/>
  <c r="E27" i="14" s="1"/>
  <c r="C23" i="14"/>
  <c r="C21" i="14"/>
  <c r="C38" i="14" s="1"/>
  <c r="C20" i="14"/>
  <c r="C19" i="14"/>
  <c r="C36" i="14" s="1"/>
  <c r="C18" i="14"/>
  <c r="C35" i="14" s="1"/>
  <c r="C17" i="14"/>
  <c r="C34" i="14" s="1"/>
  <c r="C16" i="14"/>
  <c r="C15" i="14"/>
  <c r="C32" i="14" s="1"/>
  <c r="C14" i="14"/>
  <c r="C13" i="14"/>
  <c r="C30" i="14" s="1"/>
  <c r="C12" i="14"/>
  <c r="C11" i="14"/>
  <c r="B47" i="14" s="1"/>
  <c r="C10" i="14"/>
  <c r="D42" i="14"/>
  <c r="D56" i="14" s="1"/>
  <c r="D19" i="16"/>
  <c r="D34" i="16" s="1"/>
  <c r="G24" i="8"/>
  <c r="S117" i="9"/>
  <c r="U117" i="9" s="1"/>
  <c r="S111" i="9"/>
  <c r="U111" i="9" s="1"/>
  <c r="S109" i="9"/>
  <c r="S95" i="9"/>
  <c r="U95" i="9" s="1"/>
  <c r="D8" i="8"/>
  <c r="D7" i="8"/>
  <c r="D6" i="8"/>
  <c r="D8" i="6"/>
  <c r="D7" i="6"/>
  <c r="D6" i="6"/>
  <c r="C6" i="15"/>
  <c r="C8" i="15"/>
  <c r="C7" i="15"/>
  <c r="C10" i="15"/>
  <c r="F24" i="8"/>
  <c r="U108" i="9"/>
  <c r="G26" i="8"/>
  <c r="G25" i="8"/>
  <c r="G21" i="8"/>
  <c r="D39" i="15"/>
  <c r="V26" i="15" s="1"/>
  <c r="C39" i="15"/>
  <c r="V27" i="15" s="1"/>
  <c r="V29" i="15" s="1"/>
  <c r="V30" i="15" s="1"/>
  <c r="D38" i="15"/>
  <c r="C38" i="15"/>
  <c r="C37" i="15"/>
  <c r="C36" i="15"/>
  <c r="D37" i="15"/>
  <c r="D36" i="15"/>
  <c r="B44" i="8"/>
  <c r="AW44" i="8" s="1"/>
  <c r="AI44" i="8" s="1"/>
  <c r="D81" i="9"/>
  <c r="U19" i="9"/>
  <c r="V19" i="9"/>
  <c r="W19" i="9"/>
  <c r="U61" i="9"/>
  <c r="V61" i="9"/>
  <c r="U59" i="9"/>
  <c r="U56" i="9"/>
  <c r="V56" i="9"/>
  <c r="U44" i="9"/>
  <c r="V44" i="9"/>
  <c r="U26" i="9"/>
  <c r="V26" i="9"/>
  <c r="U39" i="9"/>
  <c r="V39" i="9"/>
  <c r="W39" i="9"/>
  <c r="U48" i="9"/>
  <c r="V48" i="9"/>
  <c r="W48" i="9"/>
  <c r="U55" i="9"/>
  <c r="V55" i="9"/>
  <c r="V28" i="15" l="1"/>
  <c r="Z27" i="15"/>
  <c r="U27" i="15"/>
  <c r="D27" i="15"/>
  <c r="E27" i="15"/>
  <c r="F27" i="15"/>
  <c r="F29" i="15" s="1"/>
  <c r="F30" i="15" s="1"/>
  <c r="T26" i="15"/>
  <c r="Q26" i="15"/>
  <c r="G26" i="15"/>
  <c r="P26" i="15"/>
  <c r="W26" i="15"/>
  <c r="X26" i="15"/>
  <c r="J26" i="15"/>
  <c r="AD26" i="15"/>
  <c r="R26" i="15"/>
  <c r="L26" i="15"/>
  <c r="H26" i="15"/>
  <c r="O26" i="15"/>
  <c r="AC26" i="15"/>
  <c r="M26" i="15"/>
  <c r="I26" i="15"/>
  <c r="K26" i="15"/>
  <c r="AA26" i="15"/>
  <c r="AE26" i="15"/>
  <c r="S26" i="15"/>
  <c r="N26" i="15"/>
  <c r="Y27" i="15"/>
  <c r="AB27" i="15"/>
  <c r="AB26" i="15"/>
  <c r="Y26" i="15"/>
  <c r="Z26" i="15"/>
  <c r="D26" i="15"/>
  <c r="U26" i="15"/>
  <c r="E26" i="15"/>
  <c r="F26" i="15"/>
  <c r="H27" i="15"/>
  <c r="P27" i="15"/>
  <c r="N27" i="15"/>
  <c r="AA27" i="15"/>
  <c r="J27" i="15"/>
  <c r="Q27" i="15"/>
  <c r="AC27" i="15"/>
  <c r="G27" i="15"/>
  <c r="I27" i="15"/>
  <c r="AE27" i="15"/>
  <c r="O27" i="15"/>
  <c r="L27" i="15"/>
  <c r="K27" i="15"/>
  <c r="S27" i="15"/>
  <c r="AD27" i="15"/>
  <c r="M27" i="15"/>
  <c r="T27" i="15"/>
  <c r="R27" i="15"/>
  <c r="W27" i="15"/>
  <c r="X27" i="15"/>
  <c r="F118" i="9"/>
  <c r="F115" i="9"/>
  <c r="F112" i="9"/>
  <c r="F110" i="9"/>
  <c r="F108" i="9"/>
  <c r="F100" i="9"/>
  <c r="F93" i="9"/>
  <c r="F90" i="9"/>
  <c r="F89" i="9"/>
  <c r="AU44" i="8"/>
  <c r="AY44" i="8"/>
  <c r="C44" i="8" a="1"/>
  <c r="C44" i="8" s="1"/>
  <c r="G44" i="8" a="1"/>
  <c r="G44" i="8" s="1"/>
  <c r="AS44" i="8"/>
  <c r="K60" i="9"/>
  <c r="T89" i="9"/>
  <c r="V89" i="9" s="1"/>
  <c r="S89" i="9"/>
  <c r="U89" i="9" s="1"/>
  <c r="F44" i="8"/>
  <c r="Q44" i="8"/>
  <c r="T112" i="9"/>
  <c r="V112" i="9" s="1"/>
  <c r="X112" i="9" s="1"/>
  <c r="V118" i="9"/>
  <c r="X118" i="9" s="1"/>
  <c r="T111" i="9"/>
  <c r="V111" i="9" s="1"/>
  <c r="D60" i="9"/>
  <c r="T57" i="9"/>
  <c r="V57" i="9" s="1"/>
  <c r="T60" i="9"/>
  <c r="T108" i="9"/>
  <c r="V108" i="9" s="1"/>
  <c r="X108" i="9" s="1"/>
  <c r="V81" i="9"/>
  <c r="U81" i="9"/>
  <c r="W80" i="9"/>
  <c r="X80" i="9" s="1"/>
  <c r="B54" i="14"/>
  <c r="U57" i="9"/>
  <c r="D67" i="14"/>
  <c r="T59" i="9"/>
  <c r="V59" i="9" s="1"/>
  <c r="X59" i="9" s="1"/>
  <c r="D27" i="16"/>
  <c r="B45" i="8"/>
  <c r="AW45" i="8" s="1"/>
  <c r="AI45" i="8" s="1"/>
  <c r="T110" i="9"/>
  <c r="V110" i="9" s="1"/>
  <c r="X110" i="9" s="1"/>
  <c r="F33" i="8"/>
  <c r="I81" i="9"/>
  <c r="X61" i="9"/>
  <c r="X56" i="9"/>
  <c r="X26" i="9"/>
  <c r="T117" i="9"/>
  <c r="V117" i="9" s="1"/>
  <c r="T95" i="9"/>
  <c r="V95" i="9" s="1"/>
  <c r="T109" i="9"/>
  <c r="V109" i="9" s="1"/>
  <c r="U109" i="9"/>
  <c r="W47" i="9"/>
  <c r="U37" i="9"/>
  <c r="V47" i="9"/>
  <c r="V37" i="9"/>
  <c r="U47" i="9"/>
  <c r="W37" i="9"/>
  <c r="J3" i="16"/>
  <c r="J21" i="16"/>
  <c r="X48" i="9"/>
  <c r="X19" i="9"/>
  <c r="X97" i="9"/>
  <c r="B58" i="14"/>
  <c r="X55" i="9"/>
  <c r="X116" i="9"/>
  <c r="C26" i="14"/>
  <c r="D53" i="14"/>
  <c r="B57" i="14"/>
  <c r="E62" i="14"/>
  <c r="V115" i="9"/>
  <c r="X115" i="9" s="1"/>
  <c r="T100" i="9"/>
  <c r="V100" i="9" s="1"/>
  <c r="X100" i="9" s="1"/>
  <c r="X99" i="9" s="1"/>
  <c r="T93" i="9"/>
  <c r="V93" i="9" s="1"/>
  <c r="X93" i="9" s="1"/>
  <c r="D151" i="9"/>
  <c r="X44" i="9"/>
  <c r="D46" i="14"/>
  <c r="D45" i="14"/>
  <c r="B49" i="14"/>
  <c r="B55" i="14"/>
  <c r="C28" i="14"/>
  <c r="X94" i="9"/>
  <c r="D55" i="14"/>
  <c r="U23" i="9"/>
  <c r="X23" i="9" s="1"/>
  <c r="X39" i="9"/>
  <c r="D52" i="14"/>
  <c r="D49" i="14"/>
  <c r="D57" i="14"/>
  <c r="D54" i="14"/>
  <c r="C29" i="14"/>
  <c r="B48" i="14"/>
  <c r="C33" i="14"/>
  <c r="B52" i="14"/>
  <c r="B56" i="14"/>
  <c r="C37" i="14"/>
  <c r="D28" i="15"/>
  <c r="C27" i="14"/>
  <c r="B46" i="14"/>
  <c r="C31" i="14"/>
  <c r="B50" i="14"/>
  <c r="B59" i="14"/>
  <c r="C40" i="14"/>
  <c r="D47" i="14"/>
  <c r="D59" i="14"/>
  <c r="E42" i="14"/>
  <c r="D58" i="14"/>
  <c r="B53" i="14"/>
  <c r="D51" i="14"/>
  <c r="D48" i="14"/>
  <c r="D50" i="14"/>
  <c r="B51" i="14"/>
  <c r="G28" i="15" l="1"/>
  <c r="AE29" i="15"/>
  <c r="AE30" i="15" s="1"/>
  <c r="AE28" i="15"/>
  <c r="L29" i="15"/>
  <c r="L30" i="15" s="1"/>
  <c r="L28" i="15"/>
  <c r="Z29" i="15"/>
  <c r="Z30" i="15" s="1"/>
  <c r="Z28" i="15"/>
  <c r="K28" i="15"/>
  <c r="K29" i="15"/>
  <c r="K30" i="15" s="1"/>
  <c r="M28" i="15"/>
  <c r="M29" i="15"/>
  <c r="M30" i="15" s="1"/>
  <c r="X29" i="15"/>
  <c r="X30" i="15" s="1"/>
  <c r="X28" i="15"/>
  <c r="S29" i="15"/>
  <c r="S30" i="15" s="1"/>
  <c r="S28" i="15"/>
  <c r="Q29" i="15"/>
  <c r="Q30" i="15" s="1"/>
  <c r="Q28" i="15"/>
  <c r="R28" i="15"/>
  <c r="R29" i="15"/>
  <c r="R30" i="15" s="1"/>
  <c r="Y29" i="15"/>
  <c r="Y30" i="15" s="1"/>
  <c r="Y28" i="15"/>
  <c r="J29" i="15"/>
  <c r="J30" i="15" s="1"/>
  <c r="J28" i="15"/>
  <c r="AC29" i="15"/>
  <c r="AC30" i="15" s="1"/>
  <c r="AC28" i="15"/>
  <c r="W29" i="15"/>
  <c r="W30" i="15" s="1"/>
  <c r="W28" i="15"/>
  <c r="U28" i="15"/>
  <c r="U29" i="15"/>
  <c r="U30" i="15" s="1"/>
  <c r="AA28" i="15"/>
  <c r="AA29" i="15"/>
  <c r="AA30" i="15" s="1"/>
  <c r="T29" i="15"/>
  <c r="T30" i="15" s="1"/>
  <c r="T28" i="15"/>
  <c r="AD28" i="15"/>
  <c r="AD29" i="15"/>
  <c r="AD30" i="15" s="1"/>
  <c r="AB28" i="15"/>
  <c r="AB29" i="15"/>
  <c r="AB30" i="15" s="1"/>
  <c r="N28" i="15"/>
  <c r="N29" i="15"/>
  <c r="N30" i="15" s="1"/>
  <c r="O29" i="15"/>
  <c r="O30" i="15" s="1"/>
  <c r="O28" i="15"/>
  <c r="P28" i="15"/>
  <c r="P29" i="15"/>
  <c r="P30" i="15" s="1"/>
  <c r="D158" i="9"/>
  <c r="D157" i="9" s="1"/>
  <c r="AD44" i="8"/>
  <c r="E44" i="8" a="1"/>
  <c r="E44" i="8" s="1"/>
  <c r="H44" i="8" s="1"/>
  <c r="I44" i="8" s="1"/>
  <c r="AM44" i="8"/>
  <c r="C45" i="8" a="1"/>
  <c r="C45" i="8" s="1"/>
  <c r="G45" i="8" a="1"/>
  <c r="G45" i="8" s="1"/>
  <c r="AS45" i="8"/>
  <c r="X89" i="9"/>
  <c r="AC44" i="8"/>
  <c r="AC45" i="8"/>
  <c r="AB44" i="8"/>
  <c r="F45" i="8"/>
  <c r="Q45" i="8"/>
  <c r="AD45" i="8"/>
  <c r="F26" i="8"/>
  <c r="X111" i="9"/>
  <c r="D129" i="9"/>
  <c r="D126" i="9"/>
  <c r="D141" i="9" s="1"/>
  <c r="B46" i="8"/>
  <c r="AW46" i="8" s="1"/>
  <c r="AI46" i="8" s="1"/>
  <c r="V60" i="9"/>
  <c r="U60" i="9"/>
  <c r="X81" i="9"/>
  <c r="E29" i="15"/>
  <c r="E30" i="15" s="1"/>
  <c r="H28" i="15"/>
  <c r="D130" i="9"/>
  <c r="X47" i="9"/>
  <c r="X57" i="9"/>
  <c r="X37" i="9"/>
  <c r="E67" i="14"/>
  <c r="X109" i="9"/>
  <c r="X117" i="9"/>
  <c r="X95" i="9"/>
  <c r="X92" i="9" s="1"/>
  <c r="F28" i="15"/>
  <c r="G29" i="15"/>
  <c r="G30" i="15" s="1"/>
  <c r="F62" i="14"/>
  <c r="E28" i="15"/>
  <c r="H29" i="15"/>
  <c r="H30" i="15" s="1"/>
  <c r="D29" i="15"/>
  <c r="D30" i="15" s="1"/>
  <c r="I29" i="15"/>
  <c r="I30" i="15" s="1"/>
  <c r="I28" i="15"/>
  <c r="F42" i="14"/>
  <c r="E50" i="14"/>
  <c r="E52" i="14"/>
  <c r="E47" i="14"/>
  <c r="E59" i="14"/>
  <c r="E57" i="14"/>
  <c r="E48" i="14"/>
  <c r="E46" i="14"/>
  <c r="E54" i="14"/>
  <c r="E58" i="14"/>
  <c r="E56" i="14"/>
  <c r="E53" i="14"/>
  <c r="E45" i="14"/>
  <c r="E49" i="14"/>
  <c r="E55" i="14"/>
  <c r="E51" i="14"/>
  <c r="AM45" i="8" l="1"/>
  <c r="AQ44" i="8" a="1"/>
  <c r="AQ44" i="8" s="1"/>
  <c r="E45" i="8" a="1"/>
  <c r="E45" i="8" s="1"/>
  <c r="G46" i="8" a="1"/>
  <c r="G46" i="8" s="1"/>
  <c r="C46" i="8" a="1"/>
  <c r="C46" i="8" s="1"/>
  <c r="AS46" i="8"/>
  <c r="AC46" i="8"/>
  <c r="AB45" i="8"/>
  <c r="D143" i="9"/>
  <c r="F19" i="8" s="1"/>
  <c r="F46" i="8"/>
  <c r="Q46" i="8"/>
  <c r="AD46" i="8"/>
  <c r="D144" i="9" a="1"/>
  <c r="D144" i="9" s="1"/>
  <c r="B47" i="8"/>
  <c r="AW47" i="8" s="1"/>
  <c r="AI47" i="8" s="1"/>
  <c r="X60" i="9"/>
  <c r="F67" i="14"/>
  <c r="G62" i="14"/>
  <c r="F56" i="14"/>
  <c r="F58" i="14"/>
  <c r="F50" i="14"/>
  <c r="F51" i="14"/>
  <c r="F49" i="14"/>
  <c r="G42" i="14"/>
  <c r="F48" i="14"/>
  <c r="F45" i="14"/>
  <c r="F47" i="14"/>
  <c r="F57" i="14"/>
  <c r="F59" i="14"/>
  <c r="F54" i="14"/>
  <c r="F55" i="14"/>
  <c r="F52" i="14"/>
  <c r="F46" i="14"/>
  <c r="F53" i="14"/>
  <c r="AQ45" i="8" l="1" a="1"/>
  <c r="AQ45" i="8" s="1"/>
  <c r="AM46" i="8"/>
  <c r="AV44" i="8"/>
  <c r="H45" i="8"/>
  <c r="E46" i="8" a="1"/>
  <c r="E46" i="8" s="1"/>
  <c r="G47" i="8" a="1"/>
  <c r="G47" i="8" s="1"/>
  <c r="C47" i="8" a="1"/>
  <c r="C47" i="8" s="1"/>
  <c r="AS47" i="8"/>
  <c r="F20" i="8"/>
  <c r="I86" i="9"/>
  <c r="AC47" i="8" s="1"/>
  <c r="AB46" i="8"/>
  <c r="F47" i="8"/>
  <c r="Q47" i="8"/>
  <c r="AD47" i="8"/>
  <c r="B48" i="8"/>
  <c r="AW48" i="8" s="1"/>
  <c r="AI48" i="8" s="1"/>
  <c r="G67" i="14"/>
  <c r="H62" i="14"/>
  <c r="G55" i="14"/>
  <c r="H42" i="14"/>
  <c r="G45" i="14"/>
  <c r="G47" i="14"/>
  <c r="G59" i="14"/>
  <c r="G51" i="14"/>
  <c r="G56" i="14"/>
  <c r="G53" i="14"/>
  <c r="G52" i="14"/>
  <c r="G58" i="14"/>
  <c r="G49" i="14"/>
  <c r="G46" i="14"/>
  <c r="G50" i="14"/>
  <c r="G57" i="14"/>
  <c r="G54" i="14"/>
  <c r="G48" i="14"/>
  <c r="AQ46" i="8" l="1" a="1"/>
  <c r="AQ46" i="8" s="1"/>
  <c r="E47" i="8" a="1"/>
  <c r="E47" i="8" s="1"/>
  <c r="AM47" i="8"/>
  <c r="AZ44" i="8"/>
  <c r="BB44" i="8" s="1"/>
  <c r="AX44" i="8"/>
  <c r="G48" i="8" a="1"/>
  <c r="G48" i="8" s="1"/>
  <c r="C48" i="8" a="1"/>
  <c r="C48" i="8" s="1"/>
  <c r="AS48" i="8"/>
  <c r="I87" i="9"/>
  <c r="AC48" i="8" s="1"/>
  <c r="AB47" i="8"/>
  <c r="H46" i="8"/>
  <c r="F48" i="8"/>
  <c r="Q48" i="8"/>
  <c r="AD48" i="8"/>
  <c r="B49" i="8"/>
  <c r="AW49" i="8" s="1"/>
  <c r="AI49" i="8" s="1"/>
  <c r="H67" i="14"/>
  <c r="I62" i="14"/>
  <c r="H49" i="14"/>
  <c r="H59" i="14"/>
  <c r="H54" i="14"/>
  <c r="H45" i="14"/>
  <c r="H47" i="14"/>
  <c r="I42" i="14"/>
  <c r="H51" i="14"/>
  <c r="H58" i="14"/>
  <c r="H48" i="14"/>
  <c r="H57" i="14"/>
  <c r="H46" i="14"/>
  <c r="H56" i="14"/>
  <c r="H52" i="14"/>
  <c r="H53" i="14"/>
  <c r="H50" i="14"/>
  <c r="H55" i="14"/>
  <c r="AQ47" i="8" l="1" a="1"/>
  <c r="AQ47" i="8" s="1"/>
  <c r="AG44" i="8"/>
  <c r="H47" i="8"/>
  <c r="I47" i="8" s="1"/>
  <c r="E48" i="8" a="1"/>
  <c r="E48" i="8" s="1"/>
  <c r="AM48" i="8"/>
  <c r="J44" i="8"/>
  <c r="K44" i="8" s="1"/>
  <c r="AR44" i="8"/>
  <c r="G49" i="8" a="1"/>
  <c r="G49" i="8" s="1"/>
  <c r="C49" i="8" a="1"/>
  <c r="C49" i="8" s="1"/>
  <c r="AS49" i="8"/>
  <c r="AB49" i="8"/>
  <c r="AB48" i="8"/>
  <c r="F49" i="8"/>
  <c r="Q49" i="8"/>
  <c r="B50" i="8"/>
  <c r="AW50" i="8" s="1"/>
  <c r="AI50" i="8" s="1"/>
  <c r="AD49" i="8"/>
  <c r="AC49" i="8"/>
  <c r="I67" i="14"/>
  <c r="J62" i="14"/>
  <c r="I59" i="14"/>
  <c r="J42" i="14"/>
  <c r="I47" i="14"/>
  <c r="I49" i="14"/>
  <c r="I51" i="14"/>
  <c r="I45" i="14"/>
  <c r="I46" i="14"/>
  <c r="I55" i="14"/>
  <c r="I53" i="14"/>
  <c r="I52" i="14"/>
  <c r="I57" i="14"/>
  <c r="I58" i="14"/>
  <c r="I48" i="14"/>
  <c r="I50" i="14"/>
  <c r="I54" i="14"/>
  <c r="I56" i="14"/>
  <c r="AQ48" i="8" l="1" a="1"/>
  <c r="AQ48" i="8" s="1"/>
  <c r="H48" i="8"/>
  <c r="I48" i="8" s="1"/>
  <c r="E49" i="8" a="1"/>
  <c r="E49" i="8" s="1"/>
  <c r="H49" i="8" s="1"/>
  <c r="I49" i="8" s="1"/>
  <c r="AM49" i="8"/>
  <c r="AB50" i="8"/>
  <c r="C50" i="8" a="1"/>
  <c r="C50" i="8" s="1"/>
  <c r="G50" i="8" a="1"/>
  <c r="G50" i="8" s="1"/>
  <c r="AS50" i="8"/>
  <c r="F50" i="8"/>
  <c r="Q50" i="8"/>
  <c r="B51" i="8"/>
  <c r="AW51" i="8" s="1"/>
  <c r="AI51" i="8" s="1"/>
  <c r="AD50" i="8"/>
  <c r="AC50" i="8"/>
  <c r="J67" i="14"/>
  <c r="K62" i="14"/>
  <c r="J49" i="14"/>
  <c r="K42" i="14"/>
  <c r="J48" i="14"/>
  <c r="J51" i="14"/>
  <c r="J52" i="14"/>
  <c r="J58" i="14"/>
  <c r="J54" i="14"/>
  <c r="J46" i="14"/>
  <c r="J55" i="14"/>
  <c r="J53" i="14"/>
  <c r="J50" i="14"/>
  <c r="J57" i="14"/>
  <c r="J56" i="14"/>
  <c r="J59" i="14"/>
  <c r="J45" i="14"/>
  <c r="J47" i="14"/>
  <c r="AQ49" i="8" l="1" a="1"/>
  <c r="AQ49" i="8" s="1"/>
  <c r="E50" i="8" a="1"/>
  <c r="E50" i="8" s="1"/>
  <c r="H50" i="8" s="1"/>
  <c r="AM50" i="8"/>
  <c r="G51" i="8" a="1"/>
  <c r="G51" i="8" s="1"/>
  <c r="C51" i="8" a="1"/>
  <c r="C51" i="8" s="1"/>
  <c r="AS51" i="8"/>
  <c r="AB51" i="8"/>
  <c r="F51" i="8"/>
  <c r="Q51" i="8"/>
  <c r="B52" i="8"/>
  <c r="AW52" i="8" s="1"/>
  <c r="AI52" i="8" s="1"/>
  <c r="AC51" i="8"/>
  <c r="AD51" i="8"/>
  <c r="K67" i="14"/>
  <c r="L62" i="14"/>
  <c r="K49" i="14"/>
  <c r="K50" i="14"/>
  <c r="K46" i="14"/>
  <c r="K56" i="14"/>
  <c r="K54" i="14"/>
  <c r="K45" i="14"/>
  <c r="K59" i="14"/>
  <c r="K55" i="14"/>
  <c r="L42" i="14"/>
  <c r="K47" i="14"/>
  <c r="K52" i="14"/>
  <c r="K51" i="14"/>
  <c r="K53" i="14"/>
  <c r="K57" i="14"/>
  <c r="K48" i="14"/>
  <c r="K58" i="14"/>
  <c r="AQ50" i="8" l="1" a="1"/>
  <c r="AQ50" i="8" s="1"/>
  <c r="E51" i="8" a="1"/>
  <c r="E51" i="8" s="1"/>
  <c r="H51" i="8" s="1"/>
  <c r="I51" i="8" s="1"/>
  <c r="AM51" i="8"/>
  <c r="C52" i="8" a="1"/>
  <c r="C52" i="8" s="1"/>
  <c r="G52" i="8" a="1"/>
  <c r="G52" i="8" s="1"/>
  <c r="AS52" i="8"/>
  <c r="AB52" i="8"/>
  <c r="F52" i="8"/>
  <c r="AD52" i="8"/>
  <c r="Q52" i="8"/>
  <c r="B53" i="8"/>
  <c r="AW53" i="8" s="1"/>
  <c r="AI53" i="8" s="1"/>
  <c r="AC52" i="8"/>
  <c r="L67" i="14"/>
  <c r="M62" i="14"/>
  <c r="L49" i="14"/>
  <c r="M42" i="14"/>
  <c r="L52" i="14"/>
  <c r="L50" i="14"/>
  <c r="L45" i="14"/>
  <c r="L47" i="14"/>
  <c r="L58" i="14"/>
  <c r="L55" i="14"/>
  <c r="L51" i="14"/>
  <c r="L48" i="14"/>
  <c r="L54" i="14"/>
  <c r="L56" i="14"/>
  <c r="L53" i="14"/>
  <c r="L46" i="14"/>
  <c r="L59" i="14"/>
  <c r="L57" i="14"/>
  <c r="AQ51" i="8" l="1" a="1"/>
  <c r="AQ51" i="8" s="1"/>
  <c r="E52" i="8" a="1"/>
  <c r="E52" i="8" s="1"/>
  <c r="H52" i="8" s="1"/>
  <c r="I52" i="8" s="1"/>
  <c r="AM52" i="8"/>
  <c r="C53" i="8" a="1"/>
  <c r="C53" i="8" s="1"/>
  <c r="G53" i="8" a="1"/>
  <c r="G53" i="8" s="1"/>
  <c r="AS53" i="8"/>
  <c r="AB53" i="8"/>
  <c r="F53" i="8"/>
  <c r="B54" i="8"/>
  <c r="AW54" i="8" s="1"/>
  <c r="AI54" i="8" s="1"/>
  <c r="Q53" i="8"/>
  <c r="AD53" i="8"/>
  <c r="AC53" i="8"/>
  <c r="M67" i="14"/>
  <c r="N62" i="14"/>
  <c r="M49" i="14"/>
  <c r="N42" i="14"/>
  <c r="M47" i="14"/>
  <c r="M56" i="14"/>
  <c r="M58" i="14"/>
  <c r="M51" i="14"/>
  <c r="M57" i="14"/>
  <c r="M45" i="14"/>
  <c r="M55" i="14"/>
  <c r="M59" i="14"/>
  <c r="M50" i="14"/>
  <c r="M52" i="14"/>
  <c r="M48" i="14"/>
  <c r="M46" i="14"/>
  <c r="M54" i="14"/>
  <c r="M53" i="14"/>
  <c r="AQ52" i="8" l="1" a="1"/>
  <c r="AQ52" i="8" s="1"/>
  <c r="E53" i="8" a="1"/>
  <c r="E53" i="8" s="1"/>
  <c r="H53" i="8" s="1"/>
  <c r="I53" i="8" s="1"/>
  <c r="AM53" i="8"/>
  <c r="G54" i="8" a="1"/>
  <c r="G54" i="8" s="1"/>
  <c r="C54" i="8" a="1"/>
  <c r="C54" i="8" s="1"/>
  <c r="AS54" i="8"/>
  <c r="AB54" i="8"/>
  <c r="B55" i="8"/>
  <c r="AW55" i="8" s="1"/>
  <c r="AI55" i="8" s="1"/>
  <c r="F54" i="8"/>
  <c r="AD54" i="8"/>
  <c r="AC54" i="8"/>
  <c r="Q54" i="8"/>
  <c r="N67" i="14"/>
  <c r="O62" i="14"/>
  <c r="O42" i="14"/>
  <c r="N48" i="14"/>
  <c r="N45" i="14"/>
  <c r="N47" i="14"/>
  <c r="N49" i="14"/>
  <c r="N59" i="14"/>
  <c r="N53" i="14"/>
  <c r="N54" i="14"/>
  <c r="N46" i="14"/>
  <c r="N58" i="14"/>
  <c r="N50" i="14"/>
  <c r="N51" i="14"/>
  <c r="N56" i="14"/>
  <c r="N55" i="14"/>
  <c r="N57" i="14"/>
  <c r="N52" i="14"/>
  <c r="AQ53" i="8" l="1" a="1"/>
  <c r="AQ53" i="8" s="1"/>
  <c r="E54" i="8" a="1"/>
  <c r="E54" i="8" s="1"/>
  <c r="H54" i="8" s="1"/>
  <c r="I54" i="8" s="1"/>
  <c r="AM54" i="8"/>
  <c r="G55" i="8" a="1"/>
  <c r="G55" i="8" s="1"/>
  <c r="C55" i="8" a="1"/>
  <c r="C55" i="8" s="1"/>
  <c r="AS55" i="8"/>
  <c r="AB55" i="8"/>
  <c r="AC55" i="8"/>
  <c r="B56" i="8"/>
  <c r="AW56" i="8" s="1"/>
  <c r="AI56" i="8" s="1"/>
  <c r="AD55" i="8"/>
  <c r="Q55" i="8"/>
  <c r="F55" i="8"/>
  <c r="O67" i="14"/>
  <c r="P62" i="14"/>
  <c r="O54" i="14"/>
  <c r="P42" i="14"/>
  <c r="O49" i="14"/>
  <c r="O46" i="14"/>
  <c r="O51" i="14"/>
  <c r="O50" i="14"/>
  <c r="O58" i="14"/>
  <c r="O56" i="14"/>
  <c r="O48" i="14"/>
  <c r="O47" i="14"/>
  <c r="O55" i="14"/>
  <c r="O53" i="14"/>
  <c r="O59" i="14"/>
  <c r="O57" i="14"/>
  <c r="O45" i="14"/>
  <c r="O52" i="14"/>
  <c r="AQ54" i="8" l="1" a="1"/>
  <c r="AQ54" i="8" s="1"/>
  <c r="E55" i="8" a="1"/>
  <c r="E55" i="8" s="1"/>
  <c r="AM55" i="8"/>
  <c r="G56" i="8" a="1"/>
  <c r="G56" i="8" s="1"/>
  <c r="C56" i="8" a="1"/>
  <c r="C56" i="8" s="1"/>
  <c r="AS56" i="8"/>
  <c r="AB56" i="8"/>
  <c r="Q56" i="8"/>
  <c r="AC56" i="8"/>
  <c r="B57" i="8"/>
  <c r="AW57" i="8" s="1"/>
  <c r="AI57" i="8" s="1"/>
  <c r="AD56" i="8"/>
  <c r="F56" i="8"/>
  <c r="P67" i="14"/>
  <c r="Q62" i="14"/>
  <c r="P46" i="14"/>
  <c r="P59" i="14"/>
  <c r="P55" i="14"/>
  <c r="P56" i="14"/>
  <c r="P47" i="14"/>
  <c r="P53" i="14"/>
  <c r="P50" i="14"/>
  <c r="P58" i="14"/>
  <c r="P52" i="14"/>
  <c r="Q42" i="14"/>
  <c r="P51" i="14"/>
  <c r="P57" i="14"/>
  <c r="P49" i="14"/>
  <c r="P48" i="14"/>
  <c r="P54" i="14"/>
  <c r="P45" i="14"/>
  <c r="AQ55" i="8" l="1" a="1"/>
  <c r="AQ55" i="8" s="1"/>
  <c r="E56" i="8" a="1"/>
  <c r="E56" i="8" s="1"/>
  <c r="H56" i="8" s="1"/>
  <c r="I56" i="8" s="1"/>
  <c r="AM56" i="8"/>
  <c r="G57" i="8" a="1"/>
  <c r="G57" i="8" s="1"/>
  <c r="C57" i="8" a="1"/>
  <c r="C57" i="8" s="1"/>
  <c r="AS57" i="8"/>
  <c r="AB57" i="8"/>
  <c r="F57" i="8"/>
  <c r="B58" i="8"/>
  <c r="AW58" i="8" s="1"/>
  <c r="AI58" i="8" s="1"/>
  <c r="Q57" i="8"/>
  <c r="AC57" i="8"/>
  <c r="AD57" i="8"/>
  <c r="H55" i="8"/>
  <c r="I55" i="8" s="1"/>
  <c r="Q67" i="14"/>
  <c r="R62" i="14"/>
  <c r="Q49" i="14"/>
  <c r="Q53" i="14"/>
  <c r="Q59" i="14"/>
  <c r="Q57" i="14"/>
  <c r="Q58" i="14"/>
  <c r="Q46" i="14"/>
  <c r="Q54" i="14"/>
  <c r="Q45" i="14"/>
  <c r="Q51" i="14"/>
  <c r="R42" i="14"/>
  <c r="Q47" i="14"/>
  <c r="Q50" i="14"/>
  <c r="Q48" i="14"/>
  <c r="Q52" i="14"/>
  <c r="Q55" i="14"/>
  <c r="Q56" i="14"/>
  <c r="AQ56" i="8" l="1" a="1"/>
  <c r="AQ56" i="8" s="1"/>
  <c r="E57" i="8" a="1"/>
  <c r="E57" i="8" s="1"/>
  <c r="H57" i="8" s="1"/>
  <c r="I57" i="8" s="1"/>
  <c r="AM57" i="8"/>
  <c r="G58" i="8" a="1"/>
  <c r="G58" i="8" s="1"/>
  <c r="C58" i="8" a="1"/>
  <c r="C58" i="8" s="1"/>
  <c r="AS58" i="8"/>
  <c r="AB58" i="8"/>
  <c r="Q58" i="8"/>
  <c r="AC58" i="8"/>
  <c r="AD58" i="8"/>
  <c r="B59" i="8"/>
  <c r="AW59" i="8" s="1"/>
  <c r="AI59" i="8" s="1"/>
  <c r="F58" i="8"/>
  <c r="R67" i="14"/>
  <c r="S62" i="14"/>
  <c r="R58" i="14"/>
  <c r="R56" i="14"/>
  <c r="R52" i="14"/>
  <c r="R51" i="14"/>
  <c r="R55" i="14"/>
  <c r="R47" i="14"/>
  <c r="R57" i="14"/>
  <c r="R50" i="14"/>
  <c r="S42" i="14"/>
  <c r="R48" i="14"/>
  <c r="R49" i="14"/>
  <c r="R45" i="14"/>
  <c r="R59" i="14"/>
  <c r="R53" i="14"/>
  <c r="R46" i="14"/>
  <c r="R54" i="14"/>
  <c r="AQ57" i="8" l="1" a="1"/>
  <c r="AQ57" i="8" s="1"/>
  <c r="E58" i="8" a="1"/>
  <c r="E58" i="8" s="1"/>
  <c r="H58" i="8" s="1"/>
  <c r="I58" i="8" s="1"/>
  <c r="AM58" i="8"/>
  <c r="G59" i="8" a="1"/>
  <c r="G59" i="8" s="1"/>
  <c r="C59" i="8" a="1"/>
  <c r="C59" i="8" s="1"/>
  <c r="AS59" i="8"/>
  <c r="AB59" i="8"/>
  <c r="AC59" i="8"/>
  <c r="Q59" i="8"/>
  <c r="AD59" i="8"/>
  <c r="F59" i="8"/>
  <c r="B60" i="8"/>
  <c r="AW60" i="8" s="1"/>
  <c r="AI60" i="8" s="1"/>
  <c r="T62" i="14"/>
  <c r="S47" i="14"/>
  <c r="S56" i="14"/>
  <c r="S52" i="14"/>
  <c r="S48" i="14"/>
  <c r="S57" i="14"/>
  <c r="S59" i="14"/>
  <c r="S49" i="14"/>
  <c r="S45" i="14"/>
  <c r="S58" i="14"/>
  <c r="S54" i="14"/>
  <c r="S50" i="14"/>
  <c r="S46" i="14"/>
  <c r="S53" i="14"/>
  <c r="S55" i="14"/>
  <c r="S51" i="14"/>
  <c r="AQ58" i="8" l="1" a="1"/>
  <c r="AQ58" i="8" s="1"/>
  <c r="E59" i="8" a="1"/>
  <c r="E59" i="8" s="1"/>
  <c r="H59" i="8" s="1"/>
  <c r="I59" i="8" s="1"/>
  <c r="AM59" i="8"/>
  <c r="B61" i="8"/>
  <c r="AW61" i="8" s="1"/>
  <c r="AI61" i="8" s="1"/>
  <c r="G60" i="8" a="1"/>
  <c r="G60" i="8" s="1"/>
  <c r="C60" i="8" a="1"/>
  <c r="C60" i="8" s="1"/>
  <c r="AS60" i="8"/>
  <c r="AB60" i="8"/>
  <c r="Q60" i="8"/>
  <c r="AC60" i="8"/>
  <c r="F60" i="8"/>
  <c r="AD60" i="8"/>
  <c r="T76" i="14"/>
  <c r="U62" i="14"/>
  <c r="AQ59" i="8" l="1" a="1"/>
  <c r="AQ59" i="8" s="1"/>
  <c r="E60" i="8" a="1"/>
  <c r="E60" i="8" s="1"/>
  <c r="H60" i="8" s="1"/>
  <c r="AM60" i="8"/>
  <c r="F61" i="8"/>
  <c r="AC61" i="8"/>
  <c r="B62" i="8"/>
  <c r="Q61" i="8"/>
  <c r="G61" i="8" a="1"/>
  <c r="G61" i="8" s="1"/>
  <c r="C61" i="8" a="1"/>
  <c r="C61" i="8" s="1"/>
  <c r="AS61" i="8"/>
  <c r="AB61" i="8"/>
  <c r="AD61" i="8"/>
  <c r="U67" i="14"/>
  <c r="V62" i="14"/>
  <c r="U76" i="14"/>
  <c r="AW62" i="8" l="1"/>
  <c r="AI62" i="8" s="1"/>
  <c r="T67" i="14"/>
  <c r="AS62" i="8"/>
  <c r="G62" i="8" a="1"/>
  <c r="G62" i="8" s="1"/>
  <c r="C62" i="8" a="1"/>
  <c r="C62" i="8" s="1"/>
  <c r="AQ60" i="8" a="1"/>
  <c r="AQ60" i="8" s="1"/>
  <c r="AD62" i="8"/>
  <c r="Q62" i="8"/>
  <c r="B63" i="8"/>
  <c r="AW63" i="8" s="1"/>
  <c r="AI63" i="8" s="1"/>
  <c r="AC62" i="8"/>
  <c r="F62" i="8"/>
  <c r="E62" i="8" a="1"/>
  <c r="E62" i="8" s="1"/>
  <c r="AM62" i="8"/>
  <c r="E61" i="8" a="1"/>
  <c r="E61" i="8" s="1"/>
  <c r="H61" i="8" s="1"/>
  <c r="I61" i="8" s="1"/>
  <c r="AM61" i="8"/>
  <c r="AB62" i="8"/>
  <c r="G63" i="8" a="1"/>
  <c r="G63" i="8" s="1"/>
  <c r="T70" i="14"/>
  <c r="V67" i="14"/>
  <c r="V76" i="14"/>
  <c r="Q63" i="8" l="1"/>
  <c r="H62" i="8"/>
  <c r="I62" i="8" s="1"/>
  <c r="AQ61" i="8" a="1"/>
  <c r="AQ61" i="8" s="1"/>
  <c r="AQ62" i="8" s="1" a="1"/>
  <c r="AQ62" i="8" s="1"/>
  <c r="C63" i="8" a="1"/>
  <c r="C63" i="8" s="1"/>
  <c r="AB63" i="8"/>
  <c r="AS63" i="8"/>
  <c r="E63" i="8" s="1" a="1"/>
  <c r="E63" i="8" s="1"/>
  <c r="F63" i="8"/>
  <c r="B64" i="8"/>
  <c r="AW64" i="8" s="1"/>
  <c r="AI64" i="8" s="1"/>
  <c r="AD63" i="8"/>
  <c r="AC63" i="8"/>
  <c r="G64" i="8" a="1"/>
  <c r="G64" i="8" s="1"/>
  <c r="U70" i="14"/>
  <c r="AC64" i="8" l="1"/>
  <c r="C64" i="8" a="1"/>
  <c r="C64" i="8" s="1"/>
  <c r="Q64" i="8"/>
  <c r="AD64" i="8"/>
  <c r="AB64" i="8"/>
  <c r="AS64" i="8"/>
  <c r="E64" i="8" s="1" a="1"/>
  <c r="E64" i="8" s="1"/>
  <c r="AM63" i="8"/>
  <c r="AQ63" i="8" s="1" a="1"/>
  <c r="AQ63" i="8" s="1"/>
  <c r="F64" i="8"/>
  <c r="B65" i="8"/>
  <c r="AW65" i="8" s="1"/>
  <c r="AI65" i="8" s="1"/>
  <c r="H63" i="8"/>
  <c r="I63" i="8" s="1"/>
  <c r="G65" i="8" a="1"/>
  <c r="G65" i="8" s="1"/>
  <c r="C65" i="8" a="1"/>
  <c r="C65" i="8" s="1"/>
  <c r="V70" i="14"/>
  <c r="AD65" i="8" l="1"/>
  <c r="AM64" i="8"/>
  <c r="AQ64" i="8" s="1" a="1"/>
  <c r="AQ64" i="8" s="1"/>
  <c r="B66" i="8"/>
  <c r="AW66" i="8" s="1"/>
  <c r="AI66" i="8" s="1"/>
  <c r="Q65" i="8"/>
  <c r="AC65" i="8"/>
  <c r="AB65" i="8"/>
  <c r="AS65" i="8"/>
  <c r="E65" i="8" s="1" a="1"/>
  <c r="E65" i="8" s="1"/>
  <c r="H64" i="8"/>
  <c r="I64" i="8" s="1"/>
  <c r="F65" i="8"/>
  <c r="AD66" i="8"/>
  <c r="G66" i="8" a="1"/>
  <c r="G66" i="8" s="1"/>
  <c r="C66" i="8" a="1"/>
  <c r="C66" i="8" s="1"/>
  <c r="AS66" i="8"/>
  <c r="AB66" i="8"/>
  <c r="F66" i="8"/>
  <c r="AC66" i="8"/>
  <c r="Q66" i="8"/>
  <c r="B67" i="8"/>
  <c r="AW67" i="8" s="1"/>
  <c r="AI67" i="8" s="1"/>
  <c r="S69" i="14" l="1"/>
  <c r="R69" i="14"/>
  <c r="P69" i="14"/>
  <c r="H65" i="8"/>
  <c r="AM65" i="8"/>
  <c r="AQ65" i="8" s="1" a="1"/>
  <c r="AQ65" i="8" s="1"/>
  <c r="E66" i="8" a="1"/>
  <c r="E66" i="8" s="1"/>
  <c r="H66" i="8" s="1"/>
  <c r="I66" i="8" s="1"/>
  <c r="AM66" i="8"/>
  <c r="AD67" i="8"/>
  <c r="G67" i="8" a="1"/>
  <c r="G67" i="8" s="1"/>
  <c r="C67" i="8" a="1"/>
  <c r="C67" i="8" s="1"/>
  <c r="AS67" i="8"/>
  <c r="AB67" i="8"/>
  <c r="Q67" i="8"/>
  <c r="F67" i="8"/>
  <c r="AC67" i="8"/>
  <c r="B68" i="8"/>
  <c r="AW68" i="8" s="1"/>
  <c r="AI68" i="8" s="1"/>
  <c r="D74" i="14" l="1"/>
  <c r="D37" i="16"/>
  <c r="D76" i="14"/>
  <c r="D41" i="16"/>
  <c r="E61" i="14"/>
  <c r="E76" i="14"/>
  <c r="E74" i="14"/>
  <c r="F74" i="14"/>
  <c r="D65" i="14"/>
  <c r="D66" i="14" s="1"/>
  <c r="J24" i="16"/>
  <c r="K5" i="16"/>
  <c r="F76" i="14"/>
  <c r="G76" i="14"/>
  <c r="F61" i="14"/>
  <c r="K24" i="16"/>
  <c r="J5" i="16"/>
  <c r="G74" i="14"/>
  <c r="D61" i="14"/>
  <c r="E65" i="14"/>
  <c r="E66" i="14" s="1"/>
  <c r="F65" i="14"/>
  <c r="F66" i="14" s="1"/>
  <c r="I61" i="14"/>
  <c r="G65" i="14"/>
  <c r="G66" i="14" s="1"/>
  <c r="I76" i="14"/>
  <c r="H61" i="14"/>
  <c r="F69" i="14"/>
  <c r="G61" i="14"/>
  <c r="D69" i="14"/>
  <c r="E69" i="14"/>
  <c r="H65" i="14"/>
  <c r="H66" i="14" s="1"/>
  <c r="G69" i="14"/>
  <c r="J76" i="14"/>
  <c r="I69" i="14"/>
  <c r="J61" i="14"/>
  <c r="H69" i="14"/>
  <c r="K61" i="14"/>
  <c r="K69" i="14"/>
  <c r="J69" i="14"/>
  <c r="L61" i="14"/>
  <c r="M61" i="14"/>
  <c r="N61" i="14"/>
  <c r="M69" i="14"/>
  <c r="O61" i="14"/>
  <c r="L69" i="14"/>
  <c r="N69" i="14"/>
  <c r="Q61" i="14"/>
  <c r="O69" i="14"/>
  <c r="R61" i="14"/>
  <c r="S61" i="14"/>
  <c r="P61" i="14"/>
  <c r="Q69" i="14"/>
  <c r="F34" i="16"/>
  <c r="L3" i="16"/>
  <c r="AQ66" i="8" a="1"/>
  <c r="AQ66" i="8" s="1"/>
  <c r="E23" i="20" a="1"/>
  <c r="E23" i="20" s="1"/>
  <c r="E15" i="20" a="1"/>
  <c r="E15" i="20" s="1"/>
  <c r="E67" i="8" a="1"/>
  <c r="E67" i="8" s="1"/>
  <c r="H67" i="8" s="1"/>
  <c r="I67" i="8" s="1"/>
  <c r="AM67" i="8"/>
  <c r="G68" i="8" a="1"/>
  <c r="G68" i="8" s="1"/>
  <c r="F35" i="8" s="1"/>
  <c r="C68" i="8" a="1"/>
  <c r="C68" i="8" s="1"/>
  <c r="T41" i="9" s="1"/>
  <c r="V41" i="9" s="1"/>
  <c r="X41" i="9" s="1"/>
  <c r="AS68" i="8"/>
  <c r="AB68" i="8"/>
  <c r="E32" i="20" s="1" a="1"/>
  <c r="E32" i="20" s="1"/>
  <c r="H74" i="14"/>
  <c r="K74" i="14"/>
  <c r="L74" i="14"/>
  <c r="O65" i="14"/>
  <c r="O66" i="14" s="1"/>
  <c r="Q74" i="14"/>
  <c r="P74" i="14"/>
  <c r="R74" i="14"/>
  <c r="Q76" i="14"/>
  <c r="J65" i="14"/>
  <c r="J66" i="14" s="1"/>
  <c r="L65" i="14"/>
  <c r="L66" i="14" s="1"/>
  <c r="N65" i="14"/>
  <c r="N66" i="14" s="1"/>
  <c r="I74" i="14"/>
  <c r="J74" i="14"/>
  <c r="Q65" i="14"/>
  <c r="Q66" i="14" s="1"/>
  <c r="K65" i="14"/>
  <c r="K66" i="14" s="1"/>
  <c r="M76" i="14"/>
  <c r="O76" i="14"/>
  <c r="O74" i="14"/>
  <c r="K76" i="14"/>
  <c r="M65" i="14"/>
  <c r="M66" i="14" s="1"/>
  <c r="M74" i="14"/>
  <c r="P65" i="14"/>
  <c r="P66" i="14" s="1"/>
  <c r="R65" i="14"/>
  <c r="R66" i="14" s="1"/>
  <c r="S74" i="14"/>
  <c r="S65" i="14"/>
  <c r="S66" i="14" s="1"/>
  <c r="N74" i="14"/>
  <c r="E41" i="16"/>
  <c r="S76" i="14"/>
  <c r="P76" i="14"/>
  <c r="L76" i="14"/>
  <c r="E37" i="16"/>
  <c r="R76" i="14"/>
  <c r="N76" i="14"/>
  <c r="I65" i="14"/>
  <c r="I66" i="14" s="1"/>
  <c r="AC68" i="8"/>
  <c r="E33" i="20" s="1" a="1"/>
  <c r="E33" i="20" s="1"/>
  <c r="F68" i="8"/>
  <c r="H76" i="14" s="1"/>
  <c r="L21" i="16"/>
  <c r="Q68" i="8"/>
  <c r="E19" i="20" s="1" a="1"/>
  <c r="E19" i="20" s="1"/>
  <c r="AD68" i="8"/>
  <c r="E34" i="20" s="1" a="1"/>
  <c r="E34" i="20" s="1"/>
  <c r="AQ67" i="8" l="1" a="1"/>
  <c r="AQ67" i="8" s="1"/>
  <c r="E68" i="8" a="1"/>
  <c r="E68" i="8" s="1"/>
  <c r="H68" i="8" s="1"/>
  <c r="I68" i="8" s="1"/>
  <c r="AM68" i="8"/>
  <c r="L5" i="16"/>
  <c r="D123" i="9"/>
  <c r="F37" i="16"/>
  <c r="F41" i="16"/>
  <c r="D32" i="16"/>
  <c r="V18" i="9"/>
  <c r="D15" i="16"/>
  <c r="U18" i="9"/>
  <c r="X18" i="9" l="1"/>
  <c r="X14" i="9" s="1"/>
  <c r="D134" i="9"/>
  <c r="D145" i="9" s="1"/>
  <c r="D125" i="9"/>
  <c r="D127" i="9"/>
  <c r="F160" i="9"/>
  <c r="F155" i="9"/>
  <c r="F162" i="9"/>
  <c r="F156" i="9"/>
  <c r="F157" i="9"/>
  <c r="F158" i="9"/>
  <c r="AQ68" i="8" a="1"/>
  <c r="AQ68" i="8" s="1"/>
  <c r="L24" i="16" s="1"/>
  <c r="E37" i="20" a="1"/>
  <c r="E37" i="20" s="1"/>
  <c r="D135" i="9"/>
  <c r="D146" i="9" s="1"/>
  <c r="F21" i="8" s="1"/>
  <c r="D55" i="8"/>
  <c r="O55" i="8" s="1"/>
  <c r="D67" i="8"/>
  <c r="O67" i="8" s="1"/>
  <c r="D64" i="8"/>
  <c r="Z64" i="8" s="1"/>
  <c r="D59" i="8"/>
  <c r="O59" i="8" s="1"/>
  <c r="D50" i="8"/>
  <c r="W50" i="8" s="1"/>
  <c r="D58" i="8"/>
  <c r="D56" i="8"/>
  <c r="O56" i="8" s="1"/>
  <c r="D45" i="8"/>
  <c r="P45" i="8" s="1"/>
  <c r="D48" i="8"/>
  <c r="X48" i="8" s="1"/>
  <c r="D66" i="8"/>
  <c r="W66" i="8" s="1"/>
  <c r="D47" i="8"/>
  <c r="Y47" i="8" s="1"/>
  <c r="D63" i="8"/>
  <c r="W63" i="8" s="1"/>
  <c r="D54" i="8"/>
  <c r="W54" i="8" s="1"/>
  <c r="D46" i="8"/>
  <c r="D62" i="8"/>
  <c r="D53" i="8"/>
  <c r="W53" i="8" s="1"/>
  <c r="D61" i="8"/>
  <c r="W61" i="8" s="1"/>
  <c r="D52" i="8"/>
  <c r="W52" i="8" s="1"/>
  <c r="D60" i="8"/>
  <c r="O60" i="8" s="1"/>
  <c r="D51" i="8"/>
  <c r="W51" i="8" s="1"/>
  <c r="D124" i="9"/>
  <c r="D140" i="9" s="1"/>
  <c r="D65" i="8"/>
  <c r="P65" i="8" s="1"/>
  <c r="D57" i="8"/>
  <c r="O57" i="8" s="1"/>
  <c r="D49" i="8"/>
  <c r="P49" i="8" s="1"/>
  <c r="D44" i="8"/>
  <c r="D68" i="8"/>
  <c r="P68" i="8" s="1"/>
  <c r="W14" i="9"/>
  <c r="C14" i="9" s="1"/>
  <c r="C13" i="20" s="1"/>
  <c r="Z58" i="8" l="1"/>
  <c r="C12" i="16"/>
  <c r="D12" i="8"/>
  <c r="D159" i="9"/>
  <c r="W59" i="8"/>
  <c r="Z54" i="8"/>
  <c r="Y50" i="8"/>
  <c r="Z46" i="8"/>
  <c r="O50" i="8"/>
  <c r="X64" i="8"/>
  <c r="O64" i="8"/>
  <c r="Y55" i="8"/>
  <c r="P55" i="8"/>
  <c r="Z55" i="8"/>
  <c r="Y48" i="8"/>
  <c r="K4" i="16"/>
  <c r="J4" i="16"/>
  <c r="P47" i="8"/>
  <c r="O61" i="8"/>
  <c r="X59" i="8"/>
  <c r="O48" i="8"/>
  <c r="X58" i="8"/>
  <c r="P46" i="8"/>
  <c r="P50" i="8"/>
  <c r="X45" i="8"/>
  <c r="Z45" i="8"/>
  <c r="Y45" i="8"/>
  <c r="X46" i="8"/>
  <c r="P59" i="8"/>
  <c r="P48" i="8"/>
  <c r="X50" i="8"/>
  <c r="O46" i="8"/>
  <c r="AA58" i="8"/>
  <c r="R80" i="14" s="1"/>
  <c r="P61" i="8"/>
  <c r="U80" i="14" s="1"/>
  <c r="W57" i="8"/>
  <c r="O47" i="8"/>
  <c r="Z56" i="8"/>
  <c r="Y67" i="8"/>
  <c r="Y56" i="8"/>
  <c r="W56" i="8"/>
  <c r="W47" i="8"/>
  <c r="X56" i="8"/>
  <c r="Y61" i="8"/>
  <c r="Z47" i="8"/>
  <c r="X55" i="8"/>
  <c r="P64" i="8"/>
  <c r="Z57" i="8"/>
  <c r="AA55" i="8"/>
  <c r="W64" i="8"/>
  <c r="X53" i="8"/>
  <c r="Y57" i="8"/>
  <c r="X61" i="8"/>
  <c r="X47" i="8"/>
  <c r="Z63" i="8"/>
  <c r="Y64" i="8"/>
  <c r="X57" i="8"/>
  <c r="AA47" i="8"/>
  <c r="G80" i="14" s="1"/>
  <c r="Z53" i="8"/>
  <c r="P56" i="8"/>
  <c r="X66" i="8"/>
  <c r="Z59" i="8"/>
  <c r="X68" i="8"/>
  <c r="Y59" i="8"/>
  <c r="W46" i="8"/>
  <c r="Y58" i="8"/>
  <c r="Z48" i="8"/>
  <c r="Z50" i="8"/>
  <c r="Z66" i="8"/>
  <c r="AA50" i="8"/>
  <c r="J80" i="14" s="1"/>
  <c r="P67" i="8"/>
  <c r="P66" i="8"/>
  <c r="Z67" i="8"/>
  <c r="W48" i="8"/>
  <c r="W67" i="8"/>
  <c r="W55" i="8"/>
  <c r="X62" i="8"/>
  <c r="Y66" i="8"/>
  <c r="O58" i="8"/>
  <c r="X67" i="8"/>
  <c r="W58" i="8"/>
  <c r="Y46" i="8"/>
  <c r="Z61" i="8"/>
  <c r="Y62" i="8"/>
  <c r="P57" i="8"/>
  <c r="P58" i="8"/>
  <c r="O66" i="8"/>
  <c r="AA66" i="8"/>
  <c r="Z52" i="8"/>
  <c r="O54" i="8"/>
  <c r="Z62" i="8"/>
  <c r="Y52" i="8"/>
  <c r="O45" i="8"/>
  <c r="X51" i="8"/>
  <c r="Y68" i="8"/>
  <c r="W45" i="8"/>
  <c r="X44" i="8"/>
  <c r="P51" i="8"/>
  <c r="P54" i="8"/>
  <c r="AA68" i="8"/>
  <c r="Z65" i="8"/>
  <c r="O51" i="8"/>
  <c r="P53" i="8"/>
  <c r="W62" i="8"/>
  <c r="O52" i="8"/>
  <c r="O53" i="8"/>
  <c r="Y53" i="8"/>
  <c r="P62" i="8"/>
  <c r="X49" i="8"/>
  <c r="AA63" i="8"/>
  <c r="AA60" i="8"/>
  <c r="T80" i="14" s="1"/>
  <c r="Y54" i="8"/>
  <c r="Z49" i="8"/>
  <c r="Z51" i="8"/>
  <c r="X52" i="8"/>
  <c r="Z68" i="8"/>
  <c r="X54" i="8"/>
  <c r="X63" i="8"/>
  <c r="Y49" i="8"/>
  <c r="AA52" i="8"/>
  <c r="L80" i="14" s="1"/>
  <c r="Y51" i="8"/>
  <c r="P52" i="8"/>
  <c r="W49" i="8"/>
  <c r="AA51" i="8"/>
  <c r="K80" i="14" s="1"/>
  <c r="Y63" i="8"/>
  <c r="O49" i="8"/>
  <c r="P60" i="8"/>
  <c r="O63" i="8"/>
  <c r="Y60" i="8"/>
  <c r="O62" i="8"/>
  <c r="P63" i="8"/>
  <c r="Z44" i="8"/>
  <c r="O68" i="8"/>
  <c r="Y65" i="8"/>
  <c r="AA65" i="8"/>
  <c r="AA57" i="8"/>
  <c r="Q80" i="14" s="1"/>
  <c r="AA49" i="8"/>
  <c r="I80" i="14" s="1"/>
  <c r="X65" i="8"/>
  <c r="AA64" i="8"/>
  <c r="AA56" i="8"/>
  <c r="P80" i="14" s="1"/>
  <c r="AA48" i="8"/>
  <c r="H80" i="14" s="1"/>
  <c r="W65" i="8"/>
  <c r="W60" i="8"/>
  <c r="O65" i="8"/>
  <c r="AA62" i="8"/>
  <c r="AA53" i="8"/>
  <c r="M80" i="14" s="1"/>
  <c r="AA45" i="8"/>
  <c r="E80" i="14" s="1"/>
  <c r="X60" i="8"/>
  <c r="AA61" i="8"/>
  <c r="AA54" i="8"/>
  <c r="N80" i="14" s="1"/>
  <c r="AA46" i="8"/>
  <c r="F80" i="14" s="1"/>
  <c r="Z60" i="8"/>
  <c r="AA67" i="8"/>
  <c r="AA59" i="8"/>
  <c r="S80" i="14" s="1"/>
  <c r="O44" i="8"/>
  <c r="P44" i="8"/>
  <c r="Y44" i="8"/>
  <c r="AA44" i="8"/>
  <c r="W44" i="8"/>
  <c r="W68" i="8"/>
  <c r="O80" i="14"/>
  <c r="D161" i="9" l="1"/>
  <c r="F161" i="9" s="1"/>
  <c r="F159" i="9"/>
  <c r="N70" i="14"/>
  <c r="M70" i="14"/>
  <c r="F15" i="8"/>
  <c r="G15" i="8" s="1" a="1"/>
  <c r="G15" i="8" s="1"/>
  <c r="G30" i="8" s="1"/>
  <c r="J70" i="14"/>
  <c r="R70" i="14"/>
  <c r="F70" i="14"/>
  <c r="Q70" i="14"/>
  <c r="E70" i="14"/>
  <c r="E28" i="20" a="1"/>
  <c r="E28" i="20" s="1"/>
  <c r="E25" i="20" a="1"/>
  <c r="E25" i="20" s="1"/>
  <c r="E18" i="20" a="1"/>
  <c r="E18" i="20" s="1"/>
  <c r="E29" i="20" a="1"/>
  <c r="E29" i="20" s="1"/>
  <c r="E17" i="20" a="1"/>
  <c r="E17" i="20" s="1"/>
  <c r="E26" i="20" a="1"/>
  <c r="E26" i="20" s="1"/>
  <c r="D80" i="14"/>
  <c r="E30" i="20" a="1"/>
  <c r="E30" i="20" s="1"/>
  <c r="E27" i="20" a="1"/>
  <c r="E27" i="20" s="1"/>
  <c r="O70" i="14"/>
  <c r="P70" i="14"/>
  <c r="S70" i="14"/>
  <c r="N47" i="8" a="1"/>
  <c r="N47" i="8" s="1"/>
  <c r="N46" i="8" a="1"/>
  <c r="N46" i="8" s="1"/>
  <c r="N48" i="8" a="1"/>
  <c r="N48" i="8" s="1"/>
  <c r="N44" i="8" a="1"/>
  <c r="N44" i="8" s="1"/>
  <c r="N45" i="8" a="1"/>
  <c r="N45" i="8" s="1"/>
  <c r="N49" i="8" a="1"/>
  <c r="N49" i="8" s="1"/>
  <c r="N50" i="8" a="1"/>
  <c r="N50" i="8" s="1"/>
  <c r="E40" i="16" s="1"/>
  <c r="E42" i="16" s="1"/>
  <c r="N51" i="8" a="1"/>
  <c r="N51" i="8" s="1"/>
  <c r="N52" i="8" a="1"/>
  <c r="N52" i="8" s="1"/>
  <c r="N53" i="8" a="1"/>
  <c r="N53" i="8" s="1"/>
  <c r="N54" i="8" a="1"/>
  <c r="N54" i="8" s="1"/>
  <c r="N55" i="8" a="1"/>
  <c r="N55" i="8" s="1"/>
  <c r="N56" i="8" a="1"/>
  <c r="N56" i="8" s="1"/>
  <c r="N57" i="8" a="1"/>
  <c r="N57" i="8" s="1"/>
  <c r="N58" i="8" a="1"/>
  <c r="N58" i="8" s="1"/>
  <c r="N59" i="8" a="1"/>
  <c r="N59" i="8" s="1"/>
  <c r="N61" i="8" a="1"/>
  <c r="N61" i="8" s="1"/>
  <c r="T61" i="8" s="1"/>
  <c r="N60" i="8" a="1"/>
  <c r="N60" i="8" s="1"/>
  <c r="T60" i="8" s="1"/>
  <c r="N62" i="8" a="1"/>
  <c r="N62" i="8" s="1"/>
  <c r="T62" i="8" s="1"/>
  <c r="N63" i="8" a="1"/>
  <c r="N63" i="8" s="1"/>
  <c r="T63" i="8" s="1"/>
  <c r="N64" i="8" a="1"/>
  <c r="N64" i="8" s="1"/>
  <c r="T64" i="8" s="1"/>
  <c r="N65" i="8" a="1"/>
  <c r="N65" i="8" s="1"/>
  <c r="T65" i="8" s="1"/>
  <c r="N66" i="8" a="1"/>
  <c r="N66" i="8" s="1"/>
  <c r="T66" i="8" s="1"/>
  <c r="N67" i="8" a="1"/>
  <c r="N67" i="8" s="1"/>
  <c r="T67" i="8" s="1"/>
  <c r="N68" i="8"/>
  <c r="T68" i="8" s="1"/>
  <c r="V74" i="14"/>
  <c r="U74" i="14"/>
  <c r="T74" i="14"/>
  <c r="D36" i="16" l="1"/>
  <c r="I70" i="14"/>
  <c r="H70" i="14"/>
  <c r="L70" i="14"/>
  <c r="E36" i="16"/>
  <c r="D40" i="16"/>
  <c r="D42" i="16" s="1"/>
  <c r="K70" i="14"/>
  <c r="G70" i="14"/>
  <c r="D163" i="9"/>
  <c r="F163" i="9" s="1"/>
  <c r="D70" i="14"/>
  <c r="F36" i="16"/>
  <c r="E24" i="20" a="1"/>
  <c r="E24" i="20" s="1"/>
  <c r="E16" i="20" a="1"/>
  <c r="T58" i="8"/>
  <c r="R75" i="14"/>
  <c r="T50" i="8"/>
  <c r="J75" i="14"/>
  <c r="T57" i="8"/>
  <c r="Q75" i="14"/>
  <c r="T49" i="8"/>
  <c r="I75" i="14"/>
  <c r="T56" i="8"/>
  <c r="P75" i="14"/>
  <c r="T45" i="8"/>
  <c r="E75" i="14"/>
  <c r="T55" i="8"/>
  <c r="O75" i="14"/>
  <c r="T44" i="8"/>
  <c r="F40" i="16"/>
  <c r="F42" i="16" s="1"/>
  <c r="D75" i="14"/>
  <c r="T54" i="8"/>
  <c r="N75" i="14"/>
  <c r="T48" i="8"/>
  <c r="H75" i="14"/>
  <c r="T53" i="8"/>
  <c r="M75" i="14"/>
  <c r="T46" i="8"/>
  <c r="F75" i="14"/>
  <c r="T52" i="8"/>
  <c r="L75" i="14"/>
  <c r="T47" i="8"/>
  <c r="G75" i="14"/>
  <c r="T59" i="8"/>
  <c r="S75" i="14"/>
  <c r="T51" i="8"/>
  <c r="K75" i="14"/>
  <c r="E16" i="20" l="1"/>
  <c r="E21" i="20" s="1"/>
  <c r="E31" i="20" s="1"/>
  <c r="E36" i="20" s="1"/>
  <c r="E38" i="20" s="1"/>
  <c r="F21" i="20"/>
  <c r="F31" i="20" s="1"/>
  <c r="F36" i="20" s="1"/>
  <c r="F38" i="20" s="1"/>
  <c r="G21" i="20"/>
  <c r="G31" i="20" s="1"/>
  <c r="G36" i="20" s="1"/>
  <c r="G38" i="20" s="1"/>
  <c r="O21" i="20"/>
  <c r="O31" i="20" s="1"/>
  <c r="O36" i="20" s="1"/>
  <c r="O38" i="20" s="1"/>
  <c r="W21" i="20"/>
  <c r="W31" i="20" s="1"/>
  <c r="W36" i="20" s="1"/>
  <c r="W38" i="20" s="1"/>
  <c r="P21" i="20"/>
  <c r="P31" i="20" s="1"/>
  <c r="P36" i="20" s="1"/>
  <c r="P38" i="20" s="1"/>
  <c r="I21" i="20"/>
  <c r="I31" i="20" s="1"/>
  <c r="I36" i="20" s="1"/>
  <c r="I38" i="20" s="1"/>
  <c r="H21" i="20"/>
  <c r="H31" i="20" s="1"/>
  <c r="H36" i="20" s="1"/>
  <c r="H38" i="20" s="1"/>
  <c r="X21" i="20"/>
  <c r="X31" i="20" s="1"/>
  <c r="X36" i="20" s="1"/>
  <c r="X38" i="20" s="1"/>
  <c r="J21" i="20"/>
  <c r="J31" i="20" s="1"/>
  <c r="J36" i="20" s="1"/>
  <c r="J38" i="20" s="1"/>
  <c r="R21" i="20"/>
  <c r="R31" i="20" s="1"/>
  <c r="R36" i="20" s="1"/>
  <c r="R38" i="20" s="1"/>
  <c r="Z21" i="20"/>
  <c r="Z31" i="20" s="1"/>
  <c r="Z36" i="20" s="1"/>
  <c r="Z38" i="20" s="1"/>
  <c r="S21" i="20"/>
  <c r="S31" i="20" s="1"/>
  <c r="S36" i="20" s="1"/>
  <c r="S38" i="20" s="1"/>
  <c r="AA21" i="20"/>
  <c r="AA31" i="20" s="1"/>
  <c r="AA36" i="20" s="1"/>
  <c r="AA38" i="20" s="1"/>
  <c r="M21" i="20"/>
  <c r="M31" i="20" s="1"/>
  <c r="M36" i="20" s="1"/>
  <c r="M38" i="20" s="1"/>
  <c r="AC21" i="20"/>
  <c r="AC31" i="20" s="1"/>
  <c r="AC36" i="20" s="1"/>
  <c r="AC38" i="20" s="1"/>
  <c r="N21" i="20"/>
  <c r="N31" i="20" s="1"/>
  <c r="N36" i="20" s="1"/>
  <c r="N38" i="20" s="1"/>
  <c r="V21" i="20"/>
  <c r="V31" i="20" s="1"/>
  <c r="V36" i="20" s="1"/>
  <c r="V38" i="20" s="1"/>
  <c r="Q21" i="20"/>
  <c r="Q31" i="20" s="1"/>
  <c r="Q36" i="20" s="1"/>
  <c r="Q38" i="20" s="1"/>
  <c r="K21" i="20"/>
  <c r="K31" i="20" s="1"/>
  <c r="K36" i="20" s="1"/>
  <c r="K38" i="20" s="1"/>
  <c r="U21" i="20"/>
  <c r="U31" i="20" s="1"/>
  <c r="U36" i="20" s="1"/>
  <c r="U38" i="20" s="1"/>
  <c r="Y21" i="20"/>
  <c r="Y31" i="20" s="1"/>
  <c r="Y36" i="20" s="1"/>
  <c r="Y38" i="20" s="1"/>
  <c r="L21" i="20"/>
  <c r="L31" i="20" s="1"/>
  <c r="L36" i="20" s="1"/>
  <c r="L38" i="20" s="1"/>
  <c r="T21" i="20"/>
  <c r="T31" i="20" s="1"/>
  <c r="T36" i="20" s="1"/>
  <c r="T38" i="20" s="1"/>
  <c r="AB21" i="20"/>
  <c r="AB31" i="20" s="1"/>
  <c r="AB36" i="20" s="1"/>
  <c r="AB38" i="20" s="1"/>
  <c r="U75" i="14"/>
  <c r="T75" i="14"/>
  <c r="V75" i="14"/>
  <c r="T65" i="14" l="1"/>
  <c r="T66" i="14" s="1"/>
  <c r="U65" i="14" l="1"/>
  <c r="U66" i="14" s="1"/>
  <c r="V65" i="14" l="1"/>
  <c r="V66" i="14" s="1"/>
  <c r="AT44" i="8" l="1"/>
  <c r="I45" i="8" s="1"/>
  <c r="AT45" i="8" l="1"/>
  <c r="I46" i="8" s="1"/>
  <c r="AU45" i="8"/>
  <c r="AV45" i="8" s="1"/>
  <c r="AX45" i="8" l="1"/>
  <c r="AY45" i="8"/>
  <c r="AZ45" i="8" s="1"/>
  <c r="BB45" i="8" s="1"/>
  <c r="AG45" i="8" l="1"/>
  <c r="D38" i="16" s="1"/>
  <c r="D39" i="16" s="1"/>
  <c r="AR45" i="8"/>
  <c r="J23" i="16" s="1"/>
  <c r="J45" i="8"/>
  <c r="K45" i="8" s="1"/>
  <c r="AY46" i="8"/>
  <c r="AT46" i="8"/>
  <c r="AU46" i="8"/>
  <c r="AV46" i="8" s="1"/>
  <c r="AX46" i="8" l="1"/>
  <c r="AH45" i="8"/>
  <c r="AZ46" i="8"/>
  <c r="BB46" i="8" s="1"/>
  <c r="AH44" i="8"/>
  <c r="AG46" i="8" l="1"/>
  <c r="AJ44" i="8"/>
  <c r="AK44" i="8" s="1"/>
  <c r="BD44" i="8" s="1"/>
  <c r="AN44" i="8"/>
  <c r="AO44" i="8" s="1"/>
  <c r="AP44" i="8" s="1"/>
  <c r="AR46" i="8"/>
  <c r="AJ45" i="8"/>
  <c r="AK45" i="8" s="1"/>
  <c r="BC45" i="8" s="1"/>
  <c r="AN45" i="8"/>
  <c r="AO45" i="8" s="1"/>
  <c r="J46" i="8"/>
  <c r="K46" i="8" s="1"/>
  <c r="E79" i="14"/>
  <c r="AT47" i="8"/>
  <c r="AU47" i="8"/>
  <c r="AV47" i="8" s="1"/>
  <c r="AX47" i="8" s="1"/>
  <c r="BC44" i="8" l="1"/>
  <c r="M44" i="8" s="1"/>
  <c r="AL44" i="8"/>
  <c r="L44" i="8" s="1"/>
  <c r="BD45" i="8"/>
  <c r="M45" i="8"/>
  <c r="AP45" i="8"/>
  <c r="D79" i="14"/>
  <c r="AU48" i="8"/>
  <c r="AV48" i="8" s="1"/>
  <c r="AY47" i="8"/>
  <c r="AZ47" i="8" s="1"/>
  <c r="BB47" i="8" s="1"/>
  <c r="AG47" i="8" s="1"/>
  <c r="AL45" i="8" l="1"/>
  <c r="L45" i="8" s="1"/>
  <c r="AR47" i="8"/>
  <c r="J47" i="8"/>
  <c r="K47" i="8" s="1"/>
  <c r="AX48" i="8"/>
  <c r="AH46" i="8"/>
  <c r="AT48" i="8"/>
  <c r="AN46" i="8" l="1"/>
  <c r="AO46" i="8" s="1"/>
  <c r="AP46" i="8" s="1"/>
  <c r="AJ46" i="8"/>
  <c r="AK46" i="8" s="1"/>
  <c r="AL46" i="8" s="1"/>
  <c r="L46" i="8" s="1"/>
  <c r="AU49" i="8"/>
  <c r="AV49" i="8" s="1"/>
  <c r="AT49" i="8"/>
  <c r="I50" i="8" s="1"/>
  <c r="AY48" i="8"/>
  <c r="BD46" i="8" l="1"/>
  <c r="BC46" i="8"/>
  <c r="M46" i="8" s="1"/>
  <c r="AX49" i="8"/>
  <c r="F79" i="14"/>
  <c r="AH47" i="8"/>
  <c r="AZ48" i="8"/>
  <c r="AT50" i="8"/>
  <c r="BB48" i="8" l="1"/>
  <c r="J48" i="8"/>
  <c r="K48" i="8" s="1"/>
  <c r="AJ47" i="8"/>
  <c r="AK47" i="8" s="1"/>
  <c r="BC47" i="8" s="1"/>
  <c r="M47" i="8" s="1"/>
  <c r="AN47" i="8"/>
  <c r="AO47" i="8" s="1"/>
  <c r="AP47" i="8" s="1"/>
  <c r="AY49" i="8"/>
  <c r="AZ49" i="8" s="1"/>
  <c r="J49" i="8" s="1"/>
  <c r="G79" i="14"/>
  <c r="AT51" i="8"/>
  <c r="AU50" i="8"/>
  <c r="AV50" i="8" s="1"/>
  <c r="AG48" i="8" l="1"/>
  <c r="AH48" i="8" s="1"/>
  <c r="AL47" i="8"/>
  <c r="L47" i="8" s="1"/>
  <c r="K49" i="8"/>
  <c r="BB49" i="8"/>
  <c r="AR48" i="8"/>
  <c r="H79" i="14"/>
  <c r="BD47" i="8"/>
  <c r="AX50" i="8"/>
  <c r="AY50" i="8"/>
  <c r="AZ50" i="8" s="1"/>
  <c r="J50" i="8" s="1"/>
  <c r="AN48" i="8" l="1"/>
  <c r="AO48" i="8" s="1"/>
  <c r="AP48" i="8" s="1"/>
  <c r="AJ48" i="8"/>
  <c r="AK48" i="8" s="1"/>
  <c r="BD48" i="8" s="1"/>
  <c r="AG49" i="8"/>
  <c r="AH49" i="8" s="1"/>
  <c r="BB50" i="8"/>
  <c r="AR50" i="8" s="1"/>
  <c r="K23" i="16" s="1"/>
  <c r="AR49" i="8"/>
  <c r="K50" i="8"/>
  <c r="I79" i="14"/>
  <c r="AU51" i="8"/>
  <c r="AV51" i="8" s="1"/>
  <c r="AX51" i="8" s="1"/>
  <c r="AT52" i="8"/>
  <c r="AL48" i="8" l="1"/>
  <c r="L48" i="8" s="1"/>
  <c r="BC48" i="8"/>
  <c r="M48" i="8" s="1"/>
  <c r="AN49" i="8"/>
  <c r="AO49" i="8" s="1"/>
  <c r="AP49" i="8" s="1"/>
  <c r="AJ49" i="8"/>
  <c r="AK49" i="8" s="1"/>
  <c r="BC49" i="8" s="1"/>
  <c r="M49" i="8" s="1"/>
  <c r="AG50" i="8"/>
  <c r="AY51" i="8"/>
  <c r="AU52" i="8"/>
  <c r="AV52" i="8" s="1"/>
  <c r="AH50" i="8" l="1"/>
  <c r="AJ50" i="8" s="1"/>
  <c r="AK50" i="8" s="1"/>
  <c r="BD50" i="8" s="1"/>
  <c r="E38" i="16"/>
  <c r="E39" i="16" s="1"/>
  <c r="AL49" i="8"/>
  <c r="L49" i="8" s="1"/>
  <c r="BD49" i="8"/>
  <c r="AX52" i="8"/>
  <c r="AZ51" i="8"/>
  <c r="AT53" i="8"/>
  <c r="AN50" i="8" l="1"/>
  <c r="AO50" i="8" s="1"/>
  <c r="AP50" i="8" s="1"/>
  <c r="AL50" i="8"/>
  <c r="L50" i="8" s="1"/>
  <c r="BC50" i="8"/>
  <c r="M50" i="8" s="1"/>
  <c r="BB51" i="8"/>
  <c r="AG51" i="8" s="1"/>
  <c r="AH51" i="8" s="1"/>
  <c r="J51" i="8"/>
  <c r="K51" i="8" s="1"/>
  <c r="J79" i="14"/>
  <c r="AY52" i="8"/>
  <c r="AZ52" i="8" s="1"/>
  <c r="J52" i="8" s="1"/>
  <c r="AU53" i="8"/>
  <c r="AV53" i="8" s="1"/>
  <c r="AN51" i="8" l="1"/>
  <c r="AO51" i="8" s="1"/>
  <c r="AP51" i="8" s="1"/>
  <c r="AJ51" i="8"/>
  <c r="AK51" i="8" s="1"/>
  <c r="AL51" i="8" s="1"/>
  <c r="L51" i="8" s="1"/>
  <c r="K52" i="8"/>
  <c r="BB52" i="8"/>
  <c r="AG52" i="8" s="1"/>
  <c r="AH52" i="8" s="1"/>
  <c r="AR51" i="8"/>
  <c r="AX53" i="8"/>
  <c r="K79" i="14"/>
  <c r="AY53" i="8"/>
  <c r="AZ53" i="8" s="1"/>
  <c r="J53" i="8" s="1"/>
  <c r="AT54" i="8"/>
  <c r="BD51" i="8" l="1"/>
  <c r="BC51" i="8"/>
  <c r="M51" i="8" s="1"/>
  <c r="BB53" i="8"/>
  <c r="AR53" i="8" s="1"/>
  <c r="AR52" i="8"/>
  <c r="K53" i="8"/>
  <c r="AJ52" i="8"/>
  <c r="AK52" i="8" s="1"/>
  <c r="BC52" i="8" s="1"/>
  <c r="AN52" i="8"/>
  <c r="AO52" i="8" s="1"/>
  <c r="AP52" i="8" s="1"/>
  <c r="L79" i="14"/>
  <c r="AT55" i="8"/>
  <c r="AU54" i="8"/>
  <c r="AG53" i="8" l="1"/>
  <c r="AH53" i="8" s="1"/>
  <c r="M52" i="8"/>
  <c r="BD52" i="8"/>
  <c r="AL52" i="8"/>
  <c r="L52" i="8" s="1"/>
  <c r="AT56" i="8"/>
  <c r="AV54" i="8"/>
  <c r="AY54" i="8"/>
  <c r="AX54" i="8" l="1"/>
  <c r="AJ53" i="8"/>
  <c r="AK53" i="8" s="1"/>
  <c r="BC53" i="8" s="1"/>
  <c r="M53" i="8" s="1"/>
  <c r="AN53" i="8"/>
  <c r="AO53" i="8" s="1"/>
  <c r="AP53" i="8" s="1"/>
  <c r="AU55" i="8"/>
  <c r="AT57" i="8"/>
  <c r="AZ54" i="8"/>
  <c r="BB54" i="8" s="1"/>
  <c r="AG54" i="8" l="1"/>
  <c r="BD53" i="8"/>
  <c r="AL53" i="8"/>
  <c r="L53" i="8" s="1"/>
  <c r="AR54" i="8"/>
  <c r="J54" i="8"/>
  <c r="K54" i="8" s="1"/>
  <c r="M79" i="14"/>
  <c r="AV55" i="8"/>
  <c r="AT58" i="8"/>
  <c r="AY55" i="8"/>
  <c r="AX55" i="8" l="1"/>
  <c r="AZ55" i="8"/>
  <c r="AU56" i="8"/>
  <c r="AH54" i="8"/>
  <c r="AY56" i="8" l="1"/>
  <c r="BB55" i="8"/>
  <c r="AG55" i="8" s="1"/>
  <c r="AJ54" i="8"/>
  <c r="AK54" i="8" s="1"/>
  <c r="BD54" i="8" s="1"/>
  <c r="AN54" i="8"/>
  <c r="AO54" i="8" s="1"/>
  <c r="AP54" i="8" s="1"/>
  <c r="J55" i="8"/>
  <c r="K55" i="8" s="1"/>
  <c r="AV56" i="8"/>
  <c r="AX56" i="8" s="1"/>
  <c r="AT59" i="8"/>
  <c r="I60" i="8" s="1"/>
  <c r="AR55" i="8" l="1"/>
  <c r="BC54" i="8"/>
  <c r="M54" i="8" s="1"/>
  <c r="AL54" i="8"/>
  <c r="L54" i="8" s="1"/>
  <c r="AT60" i="8"/>
  <c r="N79" i="14"/>
  <c r="AH55" i="8"/>
  <c r="AZ56" i="8"/>
  <c r="AY57" i="8" s="1"/>
  <c r="AU57" i="8"/>
  <c r="BB56" i="8" l="1"/>
  <c r="J56" i="8"/>
  <c r="K56" i="8" s="1"/>
  <c r="AN55" i="8"/>
  <c r="AO55" i="8" s="1"/>
  <c r="AP55" i="8" s="1"/>
  <c r="AJ55" i="8"/>
  <c r="AK55" i="8" s="1"/>
  <c r="AL55" i="8" s="1"/>
  <c r="L55" i="8" s="1"/>
  <c r="O79" i="14"/>
  <c r="AV57" i="8"/>
  <c r="AT61" i="8"/>
  <c r="AR56" i="8" l="1"/>
  <c r="AG56" i="8"/>
  <c r="AH56" i="8" s="1"/>
  <c r="AJ56" i="8" s="1"/>
  <c r="AK56" i="8" s="1"/>
  <c r="BC56" i="8" s="1"/>
  <c r="BD55" i="8"/>
  <c r="BC55" i="8"/>
  <c r="M55" i="8" s="1"/>
  <c r="AX57" i="8"/>
  <c r="AT62" i="8"/>
  <c r="P79" i="14"/>
  <c r="AZ57" i="8"/>
  <c r="J57" i="8" s="1"/>
  <c r="K57" i="8" s="1"/>
  <c r="AU58" i="8"/>
  <c r="AV58" i="8" s="1"/>
  <c r="AN56" i="8" l="1"/>
  <c r="AO56" i="8" s="1"/>
  <c r="AP56" i="8" s="1"/>
  <c r="M56" i="8"/>
  <c r="BD56" i="8"/>
  <c r="AL56" i="8"/>
  <c r="L56" i="8" s="1"/>
  <c r="AX58" i="8"/>
  <c r="AY58" i="8"/>
  <c r="AZ58" i="8" s="1"/>
  <c r="J58" i="8" s="1"/>
  <c r="K58" i="8" s="1"/>
  <c r="BB57" i="8"/>
  <c r="AG57" i="8" s="1"/>
  <c r="AT63" i="8"/>
  <c r="AU59" i="8"/>
  <c r="BB58" i="8" l="1"/>
  <c r="AG58" i="8" s="1"/>
  <c r="AH58" i="8" s="1"/>
  <c r="AR57" i="8"/>
  <c r="AV59" i="8"/>
  <c r="AH57" i="8"/>
  <c r="AY59" i="8"/>
  <c r="AR58" i="8" l="1"/>
  <c r="AN58" i="8"/>
  <c r="AO58" i="8" s="1"/>
  <c r="AJ58" i="8"/>
  <c r="AK58" i="8" s="1"/>
  <c r="BC58" i="8" s="1"/>
  <c r="AX59" i="8"/>
  <c r="AJ57" i="8"/>
  <c r="AK57" i="8" s="1"/>
  <c r="BD57" i="8" s="1"/>
  <c r="AN57" i="8"/>
  <c r="AO57" i="8" s="1"/>
  <c r="AP57" i="8" s="1"/>
  <c r="R79" i="14"/>
  <c r="AT64" i="8"/>
  <c r="I65" i="8" s="1"/>
  <c r="AZ59" i="8"/>
  <c r="J59" i="8" s="1"/>
  <c r="K59" i="8" s="1"/>
  <c r="AU60" i="8"/>
  <c r="AL57" i="8" l="1"/>
  <c r="L57" i="8" s="1"/>
  <c r="BD58" i="8"/>
  <c r="M58" i="8"/>
  <c r="BB59" i="8"/>
  <c r="AG59" i="8" s="1"/>
  <c r="BC57" i="8"/>
  <c r="M57" i="8" s="1"/>
  <c r="AY60" i="8"/>
  <c r="AT65" i="8"/>
  <c r="AV60" i="8"/>
  <c r="AX60" i="8" s="1"/>
  <c r="Q79" i="14"/>
  <c r="AP58" i="8"/>
  <c r="AL58" i="8" l="1"/>
  <c r="L58" i="8" s="1"/>
  <c r="AR59" i="8"/>
  <c r="AH59" i="8"/>
  <c r="S67" i="14"/>
  <c r="AT66" i="8"/>
  <c r="AZ60" i="8"/>
  <c r="BB60" i="8" s="1"/>
  <c r="AG60" i="8" s="1"/>
  <c r="S79" i="14"/>
  <c r="AU61" i="8"/>
  <c r="AR60" i="8" l="1"/>
  <c r="AN59" i="8"/>
  <c r="AO59" i="8" s="1"/>
  <c r="AP59" i="8" s="1"/>
  <c r="AJ59" i="8"/>
  <c r="AK59" i="8" s="1"/>
  <c r="AL59" i="8" s="1"/>
  <c r="L59" i="8" s="1"/>
  <c r="J60" i="8"/>
  <c r="K60" i="8" s="1"/>
  <c r="AV61" i="8"/>
  <c r="AY61" i="8"/>
  <c r="AT67" i="8"/>
  <c r="AX61" i="8" l="1"/>
  <c r="BC59" i="8"/>
  <c r="M59" i="8" s="1"/>
  <c r="BD59" i="8"/>
  <c r="AT68" i="8"/>
  <c r="AZ61" i="8"/>
  <c r="AU62" i="8"/>
  <c r="AV62" i="8" s="1"/>
  <c r="AH60" i="8"/>
  <c r="T69" i="14"/>
  <c r="BB61" i="8" l="1"/>
  <c r="AR61" i="8" s="1"/>
  <c r="AX62" i="8"/>
  <c r="J61" i="8"/>
  <c r="K61" i="8" s="1"/>
  <c r="AN60" i="8"/>
  <c r="AO60" i="8" s="1"/>
  <c r="AP60" i="8" s="1"/>
  <c r="AJ60" i="8"/>
  <c r="AK60" i="8" s="1"/>
  <c r="BD60" i="8" s="1"/>
  <c r="AU63" i="8"/>
  <c r="AY62" i="8"/>
  <c r="AZ62" i="8" s="1"/>
  <c r="AY63" i="8" s="1"/>
  <c r="AG61" i="8" l="1"/>
  <c r="AH61" i="8" s="1"/>
  <c r="AJ61" i="8" s="1"/>
  <c r="AK61" i="8" s="1"/>
  <c r="BD61" i="8" s="1"/>
  <c r="BC60" i="8"/>
  <c r="M60" i="8" s="1"/>
  <c r="AL60" i="8"/>
  <c r="L60" i="8" s="1"/>
  <c r="U69" i="14"/>
  <c r="BB62" i="8"/>
  <c r="AR62" i="8" s="1"/>
  <c r="J62" i="8"/>
  <c r="K62" i="8" s="1"/>
  <c r="AV63" i="8"/>
  <c r="AX63" i="8" s="1"/>
  <c r="T79" i="14"/>
  <c r="U79" i="14"/>
  <c r="AN61" i="8" l="1"/>
  <c r="AO61" i="8" s="1"/>
  <c r="AP61" i="8" s="1"/>
  <c r="AG62" i="8"/>
  <c r="AH62" i="8" s="1"/>
  <c r="AL61" i="8"/>
  <c r="L61" i="8" s="1"/>
  <c r="BC61" i="8"/>
  <c r="M61" i="8" s="1"/>
  <c r="V69" i="14"/>
  <c r="AZ63" i="8"/>
  <c r="BB63" i="8" s="1"/>
  <c r="AG63" i="8" s="1"/>
  <c r="AU64" i="8"/>
  <c r="AR63" i="8" l="1"/>
  <c r="J63" i="8"/>
  <c r="K63" i="8" s="1"/>
  <c r="AY64" i="8"/>
  <c r="AJ62" i="8"/>
  <c r="AK62" i="8" s="1"/>
  <c r="AN62" i="8"/>
  <c r="AO62" i="8" s="1"/>
  <c r="AP62" i="8" s="1"/>
  <c r="AH63" i="8"/>
  <c r="AV64" i="8"/>
  <c r="AJ63" i="8" l="1"/>
  <c r="AK63" i="8" s="1"/>
  <c r="BC63" i="8" s="1"/>
  <c r="AN63" i="8"/>
  <c r="AO63" i="8" s="1"/>
  <c r="AP63" i="8" s="1"/>
  <c r="AL62" i="8"/>
  <c r="L62" i="8" s="1"/>
  <c r="BD62" i="8"/>
  <c r="BC62" i="8"/>
  <c r="M62" i="8" s="1"/>
  <c r="AX64" i="8"/>
  <c r="AZ64" i="8"/>
  <c r="BB64" i="8" s="1"/>
  <c r="AU65" i="8"/>
  <c r="AG64" i="8" l="1"/>
  <c r="AH64" i="8" s="1"/>
  <c r="J64" i="8"/>
  <c r="K64" i="8" s="1"/>
  <c r="BD63" i="8"/>
  <c r="M63" i="8"/>
  <c r="AL63" i="8"/>
  <c r="L63" i="8" s="1"/>
  <c r="AR64" i="8"/>
  <c r="AY65" i="8"/>
  <c r="AV65" i="8"/>
  <c r="AZ65" i="8" l="1"/>
  <c r="BB65" i="8" s="1"/>
  <c r="AN64" i="8"/>
  <c r="AO64" i="8" s="1"/>
  <c r="AP64" i="8" s="1"/>
  <c r="AJ64" i="8"/>
  <c r="AK64" i="8" s="1"/>
  <c r="AL64" i="8" s="1"/>
  <c r="L64" i="8" s="1"/>
  <c r="AX65" i="8"/>
  <c r="AU66" i="8"/>
  <c r="AG65" i="8" l="1"/>
  <c r="AH65" i="8" s="1"/>
  <c r="BD64" i="8"/>
  <c r="BC64" i="8"/>
  <c r="M64" i="8" s="1"/>
  <c r="AY66" i="8"/>
  <c r="J65" i="8"/>
  <c r="K65" i="8" s="1"/>
  <c r="AR65" i="8"/>
  <c r="AV66" i="8"/>
  <c r="AJ65" i="8" l="1"/>
  <c r="AK65" i="8" s="1"/>
  <c r="AL65" i="8" s="1"/>
  <c r="L65" i="8" s="1"/>
  <c r="AN65" i="8"/>
  <c r="AO65" i="8" s="1"/>
  <c r="AP65" i="8" s="1"/>
  <c r="AZ66" i="8"/>
  <c r="BB66" i="8" s="1"/>
  <c r="AX66" i="8"/>
  <c r="AU67" i="8"/>
  <c r="AG66" i="8" l="1"/>
  <c r="AH66" i="8" s="1"/>
  <c r="BC65" i="8"/>
  <c r="M65" i="8" s="1"/>
  <c r="AY67" i="8"/>
  <c r="J66" i="8"/>
  <c r="K66" i="8" s="1"/>
  <c r="AR66" i="8"/>
  <c r="BD65" i="8"/>
  <c r="AV67" i="8"/>
  <c r="AN66" i="8" l="1"/>
  <c r="AO66" i="8" s="1"/>
  <c r="AP66" i="8" s="1"/>
  <c r="AJ66" i="8"/>
  <c r="AK66" i="8" s="1"/>
  <c r="BD66" i="8" s="1"/>
  <c r="AZ67" i="8"/>
  <c r="BB67" i="8" s="1"/>
  <c r="AX67" i="8"/>
  <c r="AU68" i="8"/>
  <c r="AV68" i="8" s="1"/>
  <c r="AL66" i="8" l="1"/>
  <c r="L66" i="8" s="1"/>
  <c r="BC66" i="8"/>
  <c r="M66" i="8" s="1"/>
  <c r="AG67" i="8"/>
  <c r="AH67" i="8" s="1"/>
  <c r="J67" i="8"/>
  <c r="K67" i="8" s="1"/>
  <c r="AX68" i="8"/>
  <c r="AR67" i="8"/>
  <c r="AY68" i="8"/>
  <c r="AZ68" i="8" s="1"/>
  <c r="J68" i="8" l="1"/>
  <c r="K68" i="8" s="1"/>
  <c r="BB68" i="8"/>
  <c r="AG68" i="8" s="1"/>
  <c r="E39" i="20" s="1" a="1"/>
  <c r="AN67" i="8"/>
  <c r="AO67" i="8" s="1"/>
  <c r="AP67" i="8" s="1"/>
  <c r="AJ67" i="8"/>
  <c r="AK67" i="8" s="1"/>
  <c r="BC67" i="8" s="1"/>
  <c r="M67" i="8" s="1"/>
  <c r="AR68" i="8" l="1"/>
  <c r="L23" i="16" s="1"/>
  <c r="E39" i="20"/>
  <c r="E42" i="20" s="1"/>
  <c r="E43" i="20" s="1"/>
  <c r="AC42" i="20"/>
  <c r="P42" i="20"/>
  <c r="T42" i="20"/>
  <c r="L42" i="20"/>
  <c r="K42" i="20"/>
  <c r="M42" i="20"/>
  <c r="U42" i="20"/>
  <c r="Q42" i="20"/>
  <c r="Z42" i="20"/>
  <c r="Y42" i="20"/>
  <c r="J42" i="20"/>
  <c r="AA42" i="20"/>
  <c r="X42" i="20"/>
  <c r="I42" i="20"/>
  <c r="S42" i="20"/>
  <c r="R42" i="20"/>
  <c r="AB42" i="20"/>
  <c r="W42" i="20"/>
  <c r="G42" i="20"/>
  <c r="H42" i="20"/>
  <c r="V42" i="20"/>
  <c r="O42" i="20"/>
  <c r="N42" i="20"/>
  <c r="F42" i="20"/>
  <c r="BD67" i="8"/>
  <c r="AL67" i="8"/>
  <c r="L67" i="8" s="1"/>
  <c r="F38" i="16"/>
  <c r="F39" i="16" s="1"/>
  <c r="AH68" i="8"/>
  <c r="F43" i="20" l="1"/>
  <c r="G43" i="20" s="1"/>
  <c r="H43" i="20" s="1"/>
  <c r="I43" i="20" s="1"/>
  <c r="J43" i="20" s="1"/>
  <c r="K43" i="20" s="1"/>
  <c r="L43" i="20" s="1"/>
  <c r="M43" i="20" s="1"/>
  <c r="N43" i="20" s="1"/>
  <c r="O43" i="20" s="1"/>
  <c r="P43" i="20" s="1"/>
  <c r="Q43" i="20" s="1"/>
  <c r="R43" i="20" s="1"/>
  <c r="S43" i="20" s="1"/>
  <c r="T43" i="20" s="1"/>
  <c r="U43" i="20" s="1"/>
  <c r="V43" i="20" s="1"/>
  <c r="W43" i="20" s="1"/>
  <c r="X43" i="20" s="1"/>
  <c r="Y43" i="20" s="1"/>
  <c r="Z43" i="20" s="1"/>
  <c r="AA43" i="20" s="1"/>
  <c r="AB43" i="20" s="1"/>
  <c r="AC43" i="20" s="1"/>
  <c r="AN68" i="8"/>
  <c r="AO68" i="8" s="1"/>
  <c r="AP68" i="8" s="1"/>
  <c r="AJ68" i="8"/>
  <c r="AK68" i="8" s="1"/>
  <c r="AL68" i="8" s="1"/>
  <c r="L68" i="8" s="1"/>
  <c r="BC68" i="8" l="1"/>
  <c r="M68" i="8" s="1"/>
  <c r="BD6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Hubert Steiner</author>
  </authors>
  <commentList>
    <comment ref="G15" authorId="0" shapeId="0" xr:uid="{00000000-0006-0000-0400-000001000000}">
      <text>
        <r>
          <rPr>
            <sz val="10"/>
            <color rgb="FF000000"/>
            <rFont val="Arial"/>
            <family val="2"/>
          </rPr>
          <t>Indice mixte pondéré de tous les coûts d'exploitation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tc={143C4CEB-1932-0A40-9D1A-8565967AAA26}</author>
  </authors>
  <commentList>
    <comment ref="C40" authorId="0" shapeId="0" xr:uid="{143C4CEB-1932-0A40-9D1A-8565967AAA2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Zellenbreite anpassen</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3">
    <bk>
      <extLst>
        <ext uri="{3e2802c4-a4d2-4d8b-9148-e3be6c30e623}">
          <xlrd:rvb i="0"/>
        </ext>
      </extLst>
    </bk>
    <bk>
      <extLst>
        <ext uri="{3e2802c4-a4d2-4d8b-9148-e3be6c30e623}">
          <xlrd:rvb i="1"/>
        </ext>
      </extLst>
    </bk>
    <bk>
      <extLst>
        <ext uri="{3e2802c4-a4d2-4d8b-9148-e3be6c30e623}">
          <xlrd:rvb i="2"/>
        </ext>
      </extLst>
    </bk>
  </futureMetadata>
  <cellMetadata count="1">
    <bk>
      <rc t="1" v="0"/>
    </bk>
  </cellMetadata>
  <valueMetadata count="3">
    <bk>
      <rc t="2" v="0"/>
    </bk>
    <bk>
      <rc t="2" v="1"/>
    </bk>
    <bk>
      <rc t="2" v="2"/>
    </bk>
  </valueMetadata>
</metadata>
</file>

<file path=xl/sharedStrings.xml><?xml version="1.0" encoding="utf-8"?>
<sst xmlns="http://schemas.openxmlformats.org/spreadsheetml/2006/main" count="1624" uniqueCount="1007">
  <si>
    <t>Explications</t>
  </si>
  <si>
    <r>
      <t xml:space="preserve">Onglet «E1_Données de projet»
</t>
    </r>
    <r>
      <rPr>
        <sz val="10"/>
        <rFont val="Arial"/>
        <family val="2"/>
      </rPr>
      <t>Saisie de données de projet, délais, coûts d’investissement, subventions, prêts, frais d’exploitation, etc.</t>
    </r>
  </si>
  <si>
    <t>101a</t>
  </si>
  <si>
    <t>Les champs de saisie sont affichés sur fond jaune clair.</t>
  </si>
  <si>
    <t>101b</t>
  </si>
  <si>
    <t>Les champs de saisie avec des valeurs standard et/ou des calculs sont affichés sur fond bleu clair.
Notez bien que toute modification de ces champs peut entraîner des erreurs en d’autres emplacements et, par conséquent, à des assertions erronées de l’outil.</t>
  </si>
  <si>
    <t>101c</t>
  </si>
  <si>
    <t>101d</t>
  </si>
  <si>
    <t>101e</t>
  </si>
  <si>
    <t>101k</t>
  </si>
  <si>
    <t>Tous les montants en CHF doivent être indiqués hors TVA.</t>
  </si>
  <si>
    <t>Champ de saisie pour le nom et la désignation du projet et/ou de la variante</t>
  </si>
  <si>
    <t>110a</t>
  </si>
  <si>
    <t>110b</t>
  </si>
  <si>
    <t>110c</t>
  </si>
  <si>
    <t>110g</t>
  </si>
  <si>
    <t>110h</t>
  </si>
  <si>
    <t>115a</t>
  </si>
  <si>
    <t>115b</t>
  </si>
  <si>
    <t>115c</t>
  </si>
  <si>
    <t>115d</t>
  </si>
  <si>
    <t>115e</t>
  </si>
  <si>
    <t>115f</t>
  </si>
  <si>
    <t>115g</t>
  </si>
  <si>
    <t>115l</t>
  </si>
  <si>
    <t>115m</t>
  </si>
  <si>
    <t>115n</t>
  </si>
  <si>
    <t>115o</t>
  </si>
  <si>
    <t>115q</t>
  </si>
  <si>
    <t>115u</t>
  </si>
  <si>
    <t>115v</t>
  </si>
  <si>
    <t>115w</t>
  </si>
  <si>
    <t>115x</t>
  </si>
  <si>
    <t>120a</t>
  </si>
  <si>
    <t>120c</t>
  </si>
  <si>
    <t>120d</t>
  </si>
  <si>
    <t>120e</t>
  </si>
  <si>
    <t>120f</t>
  </si>
  <si>
    <t>120g</t>
  </si>
  <si>
    <t>120j</t>
  </si>
  <si>
    <t>120m</t>
  </si>
  <si>
    <t>120n</t>
  </si>
  <si>
    <t>125a</t>
  </si>
  <si>
    <t>125b</t>
  </si>
  <si>
    <t>125c</t>
  </si>
  <si>
    <t>125g</t>
  </si>
  <si>
    <t>125h</t>
  </si>
  <si>
    <t>125m</t>
  </si>
  <si>
    <t>125n</t>
  </si>
  <si>
    <t>125o</t>
  </si>
  <si>
    <t>Structure de coûts</t>
  </si>
  <si>
    <t>Colonne de saisie des coûts d’investissement</t>
  </si>
  <si>
    <t>145a</t>
  </si>
  <si>
    <t>145b</t>
  </si>
  <si>
    <t>145c</t>
  </si>
  <si>
    <t>145d</t>
  </si>
  <si>
    <t>145e</t>
  </si>
  <si>
    <t>145f</t>
  </si>
  <si>
    <t>145g</t>
  </si>
  <si>
    <t>145h</t>
  </si>
  <si>
    <t>145i</t>
  </si>
  <si>
    <t>145j</t>
  </si>
  <si>
    <t>145k</t>
  </si>
  <si>
    <t>145l</t>
  </si>
  <si>
    <t>145m</t>
  </si>
  <si>
    <t>145z</t>
  </si>
  <si>
    <t>150a</t>
  </si>
  <si>
    <t>150b
-
150e</t>
  </si>
  <si>
    <t>160a</t>
  </si>
  <si>
    <t>Total du montant financé par des fonds externes</t>
  </si>
  <si>
    <t>160b</t>
  </si>
  <si>
    <t>Durée du crédit ; ce calcul suppose des mensualités constantes sur toute la durée. La durée du crédit bancaire devrait être choisie aussi longue que possible (idéalement 20 voire 25 ans) et une possibilité de remboursement anticipé sans frais devrait être prévue dans le contrat. Ainsi, la mensualité due reste aussi faible que possible et, en cas de hausse de ses recettes, l’exploitant peut effectuer des versements anticipés et amortir son crédit plus rapidement.
Les crédits à durée indéterminée sans mensualités (p. ex. les hypothèques sans amortissement) sont saisies avec une durée de «0».</t>
  </si>
  <si>
    <t>160c</t>
  </si>
  <si>
    <t>160d</t>
  </si>
  <si>
    <t>160e</t>
  </si>
  <si>
    <t>Taux d’intérêt annuel brut du crédit (avant déduction de l’impôt anticipé) sur l’ensemble de sa durée (taux d’intérêt moyen)</t>
  </si>
  <si>
    <t>166a</t>
  </si>
  <si>
    <t>Subvention unique du pack</t>
  </si>
  <si>
    <t>166b</t>
  </si>
  <si>
    <t>167a</t>
  </si>
  <si>
    <t>Versement annuel moyen durant la période subventionnée.</t>
  </si>
  <si>
    <t>167b</t>
  </si>
  <si>
    <t>Durée des subventions annuelles (nombre de versements)</t>
  </si>
  <si>
    <t>167c</t>
  </si>
  <si>
    <t>170a</t>
  </si>
  <si>
    <t>170b</t>
  </si>
  <si>
    <t>170c</t>
  </si>
  <si>
    <t>170d</t>
  </si>
  <si>
    <t>170e</t>
  </si>
  <si>
    <t>170f</t>
  </si>
  <si>
    <t>170g</t>
  </si>
  <si>
    <t>170h</t>
  </si>
  <si>
    <t>170i</t>
  </si>
  <si>
    <t>170j</t>
  </si>
  <si>
    <t>170k</t>
  </si>
  <si>
    <t>170l</t>
  </si>
  <si>
    <t>170m</t>
  </si>
  <si>
    <t>170n</t>
  </si>
  <si>
    <t>175a</t>
  </si>
  <si>
    <t>175b</t>
  </si>
  <si>
    <t>175c</t>
  </si>
  <si>
    <t>175d</t>
  </si>
  <si>
    <t>175e</t>
  </si>
  <si>
    <t>175f</t>
  </si>
  <si>
    <t>175h</t>
  </si>
  <si>
    <t>177a</t>
  </si>
  <si>
    <t>177b</t>
  </si>
  <si>
    <t>190a</t>
  </si>
  <si>
    <t>190b</t>
  </si>
  <si>
    <t>190c</t>
  </si>
  <si>
    <t>Frais d'entretien et de maintenance pour la production de chaleur
Frais d'entretien calculés à partir des investissements des pts 145a-145h + 50% du pt 145m et des frais d'entretien spécifiques (pt 142)
Frais d'entretien calculés à partir de la part des frais d'entretien pour la production de chaleur dans les frais d'entretien totaux des pts 125.</t>
  </si>
  <si>
    <t>190d</t>
  </si>
  <si>
    <t>Frais d'entretien et de maintenance pour la distribution de chaleur
Frais d'entretien calculés à partir des investissements des pts 145i-145l + 50% du pt 145m et des frais d'entretien spécifiques (pt 142)
Frais d'entretien calculés à partir de la part des frais d'entretien pour la distribution de chaleur dans les frais d'entretien totaux des pts 125.</t>
  </si>
  <si>
    <t>190e</t>
  </si>
  <si>
    <t>Coûts annuels de l'énergie calculés à partir des pts 175</t>
  </si>
  <si>
    <t>190f</t>
  </si>
  <si>
    <t>190g</t>
  </si>
  <si>
    <t>190h</t>
  </si>
  <si>
    <t>Réduction des coûts annuels par suite des subventions. La somme des subventions des pts 172, 174 et 177 x 178 capitalisés pour une durée de 25 ans.</t>
  </si>
  <si>
    <t>190i</t>
  </si>
  <si>
    <t>Onglet «E2_Prix de la chaleur»
Informations sur les prix de la chaleur et la tarification</t>
  </si>
  <si>
    <t>211ff</t>
  </si>
  <si>
    <t>a</t>
  </si>
  <si>
    <t>b</t>
  </si>
  <si>
    <t>c</t>
  </si>
  <si>
    <t>Onglet «E3_Consommateurs»
Informations sur les consommateurs du réseau de chaleur (clients de chaleur)</t>
  </si>
  <si>
    <t>510a</t>
  </si>
  <si>
    <t>510b</t>
  </si>
  <si>
    <t>510c</t>
  </si>
  <si>
    <t>510d</t>
  </si>
  <si>
    <t>510e</t>
  </si>
  <si>
    <t>510f</t>
  </si>
  <si>
    <t>510g</t>
  </si>
  <si>
    <t>510h</t>
  </si>
  <si>
    <t>510i</t>
  </si>
  <si>
    <t>510j</t>
  </si>
  <si>
    <t>510k</t>
  </si>
  <si>
    <t>510q</t>
  </si>
  <si>
    <t>510r</t>
  </si>
  <si>
    <t>510w</t>
  </si>
  <si>
    <t>Recettes totales du projet</t>
  </si>
  <si>
    <t>571a</t>
  </si>
  <si>
    <t>571b</t>
  </si>
  <si>
    <t>571c</t>
  </si>
  <si>
    <t>571d</t>
  </si>
  <si>
    <t>571e</t>
  </si>
  <si>
    <t>572a</t>
  </si>
  <si>
    <t>572b</t>
  </si>
  <si>
    <t>574a</t>
  </si>
  <si>
    <t>574b</t>
  </si>
  <si>
    <t>Cash-flow cumulé</t>
  </si>
  <si>
    <r>
      <rPr>
        <b/>
        <sz val="10"/>
        <rFont val="Arial"/>
        <family val="2"/>
      </rPr>
      <t>Onglet «A1_Résultats»</t>
    </r>
    <r>
      <rPr>
        <sz val="10"/>
        <rFont val="Arial"/>
        <family val="2"/>
      </rPr>
      <t xml:space="preserve">
Cet onglet récapitule et évalue les principaux résultats</t>
    </r>
  </si>
  <si>
    <t>Unités</t>
  </si>
  <si>
    <t>MWh</t>
  </si>
  <si>
    <t>Mégawatt-heure thermique, c’est-à-dire chaleur</t>
  </si>
  <si>
    <t>kWh</t>
  </si>
  <si>
    <t>Kilowatt-heure thermique, c’est-à-dire chaleur</t>
  </si>
  <si>
    <r>
      <t>MWh</t>
    </r>
    <r>
      <rPr>
        <vertAlign val="subscript"/>
        <sz val="10"/>
        <rFont val="Arial"/>
        <family val="2"/>
      </rPr>
      <t>el</t>
    </r>
  </si>
  <si>
    <t>Mégawatt-heure électrique, c’est-à-dire électricité</t>
  </si>
  <si>
    <r>
      <t>kWh</t>
    </r>
    <r>
      <rPr>
        <vertAlign val="subscript"/>
        <sz val="10"/>
        <rFont val="Arial"/>
        <family val="2"/>
      </rPr>
      <t>el</t>
    </r>
  </si>
  <si>
    <t>Kilowatt-heure électrique, c’est-à-dire électricité</t>
  </si>
  <si>
    <t>an</t>
  </si>
  <si>
    <t>année</t>
  </si>
  <si>
    <t>CHF</t>
  </si>
  <si>
    <t>francs suisses</t>
  </si>
  <si>
    <t>%</t>
  </si>
  <si>
    <t>pour cent</t>
  </si>
  <si>
    <t>Abréviations</t>
  </si>
  <si>
    <t>AP</t>
  </si>
  <si>
    <t>année précédente</t>
  </si>
  <si>
    <t>cour.</t>
  </si>
  <si>
    <t>courant/courante</t>
  </si>
  <si>
    <t>exc.</t>
  </si>
  <si>
    <t>excédent</t>
  </si>
  <si>
    <t>QM Chauffages au bois - Modèle de rentabilité - Données de projet</t>
  </si>
  <si>
    <t>Champ de saisie</t>
  </si>
  <si>
    <t>Commentaires</t>
  </si>
  <si>
    <t>Valeur standard ou calcul (modifiable)</t>
  </si>
  <si>
    <t>e</t>
  </si>
  <si>
    <t>(hors TVA)</t>
  </si>
  <si>
    <t>Projet/Variante :</t>
  </si>
  <si>
    <t>Saisi par :</t>
  </si>
  <si>
    <t>Avertissements
Remarques :</t>
  </si>
  <si>
    <t>Min</t>
  </si>
  <si>
    <t>Max</t>
  </si>
  <si>
    <t>Unters.</t>
  </si>
  <si>
    <t>Übers.</t>
  </si>
  <si>
    <t>S.Fehler</t>
  </si>
  <si>
    <t>Avertissement</t>
  </si>
  <si>
    <t>TexteMin</t>
  </si>
  <si>
    <t>TexteMax</t>
  </si>
  <si>
    <t>TexteAutre</t>
  </si>
  <si>
    <t>Quantité de chaleur, réseau, lancement du projet</t>
  </si>
  <si>
    <t>Consommation de chaleur totale des utilisateurs</t>
  </si>
  <si>
    <t>MWh/an</t>
  </si>
  <si>
    <t>Déperditions du réseau</t>
  </si>
  <si>
    <t>110b: Pas de déperditions de réseau saisies.</t>
  </si>
  <si>
    <t>Diminution des besoins de chaleur (Amélioration de l’enveloppe du bâtiment)</t>
  </si>
  <si>
    <t xml:space="preserve">110c: La diminution des besoins de chaleur est très élevée. </t>
  </si>
  <si>
    <t>110c:  Aucune diminution des besoins de chaleur saisi.</t>
  </si>
  <si>
    <t>g</t>
  </si>
  <si>
    <t>Année de démarrage du projet</t>
  </si>
  <si>
    <t xml:space="preserve">110g: L'année de démarrage du projet est antérieure à 2000. </t>
  </si>
  <si>
    <t xml:space="preserve">110g: L'année de démarrage du projet est postérieure à 2100. </t>
  </si>
  <si>
    <t>h</t>
  </si>
  <si>
    <t>Année de mise en service / première fourniture de chaleur</t>
  </si>
  <si>
    <t>110h: L'année de mise en service est antérieure à l'année de démarrage du projet.</t>
  </si>
  <si>
    <t xml:space="preserve">110h: Plus de 3 ans séparent la mise en service du démarrage du projet. Ajuster la date de première fourniture de chaleur dans l'onglet Consommateurs. </t>
  </si>
  <si>
    <t>d</t>
  </si>
  <si>
    <t>f</t>
  </si>
  <si>
    <t>Part de chaleur utile produite à base d'énergie fossile</t>
  </si>
  <si>
    <t>l</t>
  </si>
  <si>
    <t>m</t>
  </si>
  <si>
    <t>n</t>
  </si>
  <si>
    <t>o</t>
  </si>
  <si>
    <t>-</t>
  </si>
  <si>
    <t>q</t>
  </si>
  <si>
    <t>u</t>
  </si>
  <si>
    <t>v</t>
  </si>
  <si>
    <t>Énergie auxiliaire (électricité)</t>
  </si>
  <si>
    <t>% de la chaleur produite</t>
  </si>
  <si>
    <t xml:space="preserve">115v: La consommation spécifique d'électricité est supposée très faible. . </t>
  </si>
  <si>
    <t xml:space="preserve">115v: La consommation spécifique d'électricité est supposée très importante. </t>
  </si>
  <si>
    <t xml:space="preserve">115v: La consommation spécifique d'électricité a été définie comme nulle. </t>
  </si>
  <si>
    <t>w</t>
  </si>
  <si>
    <t>x</t>
  </si>
  <si>
    <t>Prix d'achat de l'énergie</t>
  </si>
  <si>
    <t>Prix du combustible bois (à partir du compteur de chaleur)</t>
  </si>
  <si>
    <t>CHF/MWh d'énergie produite</t>
  </si>
  <si>
    <t>Prix du combustible fossile</t>
  </si>
  <si>
    <t>Prix de l'électricité</t>
  </si>
  <si>
    <t>Rp/kWhel</t>
  </si>
  <si>
    <t xml:space="preserve">120f: Le prix de l'électricité est nul.  </t>
  </si>
  <si>
    <t>j</t>
  </si>
  <si>
    <t>CHF/MWh</t>
  </si>
  <si>
    <t>CHF/m³</t>
  </si>
  <si>
    <t>CHF/an</t>
  </si>
  <si>
    <t xml:space="preserve">125a: Les coûts annuels de personnel sont très faibles. </t>
  </si>
  <si>
    <t xml:space="preserve">125a: Les coûts annuels de personnel sont très élevés. </t>
  </si>
  <si>
    <t>Frais d'entretien</t>
  </si>
  <si>
    <t>Frais de loyer / bail / propriété</t>
  </si>
  <si>
    <t xml:space="preserve">125g: Les frais annuels de propriété sont très élevés. </t>
  </si>
  <si>
    <t xml:space="preserve">125h: Les autres frais sont très faibles. </t>
  </si>
  <si>
    <t xml:space="preserve">125h: Les autres frais sont très élevés. </t>
  </si>
  <si>
    <t>Taux d'intérêt nominal</t>
  </si>
  <si>
    <t xml:space="preserve">125n: Le taux d'intérêt nominal a été supposé négatif. </t>
  </si>
  <si>
    <t xml:space="preserve">125n:  Le taux d'intérêt nominal a été supposé très élevé. </t>
  </si>
  <si>
    <t>Taux d'intérêt réel</t>
  </si>
  <si>
    <t xml:space="preserve">125o: Le taux d'intérêt réel est négatif </t>
  </si>
  <si>
    <t xml:space="preserve">125o: Le taux d'intérêt réel est très élevé  </t>
  </si>
  <si>
    <t>Investissements, amortissement, etc.</t>
  </si>
  <si>
    <t>Durée d'utilisation</t>
  </si>
  <si>
    <t>Coûts d'investissement</t>
  </si>
  <si>
    <t>(extensions y comprises)</t>
  </si>
  <si>
    <t>spécifiques</t>
  </si>
  <si>
    <t>Amortissement</t>
  </si>
  <si>
    <t>Kapitalkosten</t>
  </si>
  <si>
    <t>ans</t>
  </si>
  <si>
    <t>i</t>
  </si>
  <si>
    <t>Réseau de chaleur, y compris génie civil</t>
  </si>
  <si>
    <t>k</t>
  </si>
  <si>
    <t>Planification et imprévus</t>
  </si>
  <si>
    <t xml:space="preserve">145m: Les frais de planification et d'imprévus sont très faibles. </t>
  </si>
  <si>
    <t xml:space="preserve">145m: Les frais de planification et d'imprévus sont très élevés. </t>
  </si>
  <si>
    <t xml:space="preserve">145m: Les frais de planification et d'imprévus représentent moins de 5 % des coûts d'investissement. </t>
  </si>
  <si>
    <t>z</t>
  </si>
  <si>
    <t>Coût d'investissement total</t>
  </si>
  <si>
    <t>145z: Les coûts d'investissement sont très faibles.</t>
  </si>
  <si>
    <t>145z: Les coûts d'investissement sont très élevés.</t>
  </si>
  <si>
    <t>Échelonnement des investissements</t>
  </si>
  <si>
    <t>Année</t>
  </si>
  <si>
    <t>Part</t>
  </si>
  <si>
    <t>Niveau d'extension / étape 1</t>
  </si>
  <si>
    <t>Niveau d'extension / étape 2</t>
  </si>
  <si>
    <t>Niveau d'extension / étape 3</t>
  </si>
  <si>
    <t>Niveau d'extension / étape 4</t>
  </si>
  <si>
    <t>Niveau d'extension / étape 5</t>
  </si>
  <si>
    <t>Invest</t>
  </si>
  <si>
    <t>Financement externe</t>
  </si>
  <si>
    <t>Crédit 1</t>
  </si>
  <si>
    <t>Crédit/prêt</t>
  </si>
  <si>
    <t xml:space="preserve">160a: La part du crédit est supérieure au coût d'investissement global. </t>
  </si>
  <si>
    <t>Durée du crédit en année</t>
  </si>
  <si>
    <t xml:space="preserve">160b: La durée du crédit est trop courte. </t>
  </si>
  <si>
    <t xml:space="preserve">160b: La durée du crédit ne doit pas excéder 25 ans ! </t>
  </si>
  <si>
    <t>Année de début</t>
  </si>
  <si>
    <t>160c: L'année de début du financement est antérieure au démarrage du projet.</t>
  </si>
  <si>
    <t>160c: L'année de début du financement se situe loin après le démarrage du projet.</t>
  </si>
  <si>
    <t>Taux d'intérêt</t>
  </si>
  <si>
    <t>160e: Le taux d'intérêt indiqué est très faible.</t>
  </si>
  <si>
    <t>160e: Le taux d'intérêt indiqué est très élevé.</t>
  </si>
  <si>
    <t>Crédit 2</t>
  </si>
  <si>
    <t xml:space="preserve">160a: La part du crédit est négative. </t>
  </si>
  <si>
    <t>160e:  Le taux d'intérêt indiqué est très élevé.</t>
  </si>
  <si>
    <t>Subventions</t>
  </si>
  <si>
    <t>Subvention unique (p.ex. cantonale)</t>
  </si>
  <si>
    <t>Subvention unique pack 1</t>
  </si>
  <si>
    <t xml:space="preserve">166a: Le montant de la subvention du pack 1 est trop faible. </t>
  </si>
  <si>
    <t xml:space="preserve">166a: Le montant de la subvention du pack 1 est trop élevé. </t>
  </si>
  <si>
    <t>Année de versement</t>
  </si>
  <si>
    <t xml:space="preserve">166b: La subvention du pack 1 ne peut être versée qu'après le démarrage du projet ! </t>
  </si>
  <si>
    <t xml:space="preserve">166b: Le versement de la subvention du pack 1 est indiqué plus de 10 ans après le démarrage du projet ! </t>
  </si>
  <si>
    <t>Subvention unique pack 2</t>
  </si>
  <si>
    <t xml:space="preserve">166a: Le montant de la subvention du pack 2 est trop faible. </t>
  </si>
  <si>
    <t xml:space="preserve">166a: Le montant de la subvention du pack 2 est trop élevé. </t>
  </si>
  <si>
    <t xml:space="preserve">166b: La subvention du pack 2 ne peut être versée qu'après le démarrage du projet ! </t>
  </si>
  <si>
    <t xml:space="preserve">166b:  Le versement de la subvention du pack 2 est indiqué plus de 10 ans après le démarrage du projet ! </t>
  </si>
  <si>
    <t>Subvention unique pack 3</t>
  </si>
  <si>
    <t>166a: Le montant de la subvention du pack 3 est trop faible.</t>
  </si>
  <si>
    <t xml:space="preserve">166a: Le montant de la subvention du pack 3 est trop élevé. </t>
  </si>
  <si>
    <t xml:space="preserve">166b: La subvention du pack 3 ne peut être versée qu'après le démarrage du projet ! </t>
  </si>
  <si>
    <t xml:space="preserve">166b:  Le versement de la subvention du pack 3 est indiqué plus de 10 ans après le démarrage du projet ! </t>
  </si>
  <si>
    <t>Subvention pluriannuelle (p.ex. KliK)</t>
  </si>
  <si>
    <t>Subvention annuelle moyenne 1</t>
  </si>
  <si>
    <t>CHF/a</t>
  </si>
  <si>
    <t xml:space="preserve">167a:  Le montant de subvention 1 saisi est très faible. </t>
  </si>
  <si>
    <t xml:space="preserve">167a: Le montant de subvention 1 saisi est trop élevé. </t>
  </si>
  <si>
    <t>Durée de versement 1</t>
  </si>
  <si>
    <t xml:space="preserve">167b: La durée de la subvention 1 est trop faible. </t>
  </si>
  <si>
    <t xml:space="preserve">167b: La durée de la subvention 1 est trop longue. </t>
  </si>
  <si>
    <t>Année du premier versement 1</t>
  </si>
  <si>
    <t xml:space="preserve">167c: La subvention 1 ne peut être versée qu'après le démarrage du projet ! </t>
  </si>
  <si>
    <t xml:space="preserve">167c: Le versement de la subvention 1 est indiqué plus de 10 ans après le démarrage du projet ! </t>
  </si>
  <si>
    <t>Subvention annuelle moyenne 2</t>
  </si>
  <si>
    <t xml:space="preserve">167a:  Le montant de subvention 2 saisi est très faible. </t>
  </si>
  <si>
    <t>Durée de versement 2</t>
  </si>
  <si>
    <t xml:space="preserve">167b: La durée de la subvention 2 est trop faible. </t>
  </si>
  <si>
    <t xml:space="preserve">167b: La durée de la subvention 2 est trop longue. </t>
  </si>
  <si>
    <t>Année du premier versement 2</t>
  </si>
  <si>
    <t xml:space="preserve">167c: La subvention 2 ne peut être versée qu'après le démarrage du projet ! </t>
  </si>
  <si>
    <t xml:space="preserve">167c: Le versement de la subvention 2 est indiqué plus de 10 ans après le démarrage du projet ! </t>
  </si>
  <si>
    <t>m³/an</t>
  </si>
  <si>
    <t>Coût d'investissement global</t>
  </si>
  <si>
    <t>Montant total des subventions</t>
  </si>
  <si>
    <t>Coûts annuels</t>
  </si>
  <si>
    <t>(sans subventions)</t>
  </si>
  <si>
    <t>Coût du capital pour la production de chaleur</t>
  </si>
  <si>
    <t>ct./kWh</t>
  </si>
  <si>
    <t>Coûts en capital de la distribution de chaleur</t>
  </si>
  <si>
    <t>Entretien et maintenance de la production de chaleur</t>
  </si>
  <si>
    <t>Entretien et maintenance de la distribution de chaleur</t>
  </si>
  <si>
    <t>Coûts de l'énergie</t>
  </si>
  <si>
    <t>Subventions (capitalisés pour une durée de 25 ans)</t>
  </si>
  <si>
    <t>Coûts annuels incluant les subventions</t>
  </si>
  <si>
    <t xml:space="preserve">QM Chauffages au bois - Modèle de rentabilité - Prix de la chaleur </t>
  </si>
  <si>
    <t>Tarif 1</t>
  </si>
  <si>
    <t>% de la quantité de chaleur</t>
  </si>
  <si>
    <t>prix de base annuel</t>
  </si>
  <si>
    <t>CHF/kW an</t>
  </si>
  <si>
    <t>CHF/kWh</t>
  </si>
  <si>
    <t>durée contractuelle</t>
  </si>
  <si>
    <t>Tarif 2</t>
  </si>
  <si>
    <t>Tarif 3</t>
  </si>
  <si>
    <t>Tarif 4</t>
  </si>
  <si>
    <t>Tarif 5</t>
  </si>
  <si>
    <t>Tarif 6</t>
  </si>
  <si>
    <t>QM Chauffages au bois - Modèle de rentabilité - Saisie des consommateurs</t>
  </si>
  <si>
    <t>Champ transmis depuis le relevé de situation</t>
  </si>
  <si>
    <t>Indications concernant les consommateurs</t>
  </si>
  <si>
    <t>Généralités</t>
  </si>
  <si>
    <t>Numéro</t>
  </si>
  <si>
    <t>Désignation</t>
  </si>
  <si>
    <t xml:space="preserve"> </t>
  </si>
  <si>
    <t>Besoin de chaleur</t>
  </si>
  <si>
    <t>Besoin total de chaleur [MWh/an]</t>
  </si>
  <si>
    <t>Puissance souscrite [kW]</t>
  </si>
  <si>
    <t>Raccordement</t>
  </si>
  <si>
    <t>Année de raccordement</t>
  </si>
  <si>
    <t>Tarif</t>
  </si>
  <si>
    <t>Prix de la chaleur - Tarif</t>
  </si>
  <si>
    <t>Coûts de raccordement (uniques) [CHF]</t>
  </si>
  <si>
    <t>Coûts de capital annuels [CHF/an]</t>
  </si>
  <si>
    <t>Coûts de base annuels [CHF/an]</t>
  </si>
  <si>
    <t>Coûts énergétiques annuels [CHF/an]</t>
  </si>
  <si>
    <t>Coûts de base et énergétiques [CHF/an]</t>
  </si>
  <si>
    <t>Coûts annuels [CHF/an]</t>
  </si>
  <si>
    <t>Prix de revient de la chaleur [ct/kWh]</t>
  </si>
  <si>
    <t>Tarifname</t>
  </si>
  <si>
    <t>Arbeitstarif [CHF/kWh a]</t>
  </si>
  <si>
    <t>Leistungstarif [CHF/kW]</t>
  </si>
  <si>
    <t>Vertragslaufzeit [Jahre]</t>
  </si>
  <si>
    <t>QM Chauffages au bois - Modèle de rentabilité - Résultat</t>
  </si>
  <si>
    <t>Valeur standard ou calculée (modifiable)</t>
  </si>
  <si>
    <t>Évolution économique (graphique)</t>
  </si>
  <si>
    <t>Évolution état du crédit / valeur résiduelle (graphique)</t>
  </si>
  <si>
    <t>Avertissements :</t>
  </si>
  <si>
    <t>Coûts d'exploitation</t>
  </si>
  <si>
    <t xml:space="preserve"> [CHF/an]</t>
  </si>
  <si>
    <t>Total des coûts d'exploitation</t>
  </si>
  <si>
    <t>Combustible fossile</t>
  </si>
  <si>
    <t>Frais de loyer/bail/terrain</t>
  </si>
  <si>
    <t>r</t>
  </si>
  <si>
    <t>Prix de la chaleur</t>
  </si>
  <si>
    <t>Données du projet</t>
  </si>
  <si>
    <t>Recettes</t>
  </si>
  <si>
    <t>Dépenses</t>
  </si>
  <si>
    <t>Cashflow</t>
  </si>
  <si>
    <t>Compte d'exploitation</t>
  </si>
  <si>
    <t>Hilfsberechnungen</t>
  </si>
  <si>
    <t>Besoin de chaleur, déperditions réseau incl.</t>
  </si>
  <si>
    <t>Charge</t>
  </si>
  <si>
    <t>Contributions de raccordement</t>
  </si>
  <si>
    <t>Verzinsung Investitions-
summe</t>
  </si>
  <si>
    <t>Recettes supplémentaires</t>
  </si>
  <si>
    <t>Recettes effectives</t>
  </si>
  <si>
    <t>Recettes totales</t>
  </si>
  <si>
    <t>Entretien</t>
  </si>
  <si>
    <t>Autres
+ loyer/
bail</t>
  </si>
  <si>
    <t>Autres dépenses</t>
  </si>
  <si>
    <t>Dépenses effectives</t>
  </si>
  <si>
    <t>Valeur résiduelle des installations</t>
  </si>
  <si>
    <t>Solde du crédit</t>
  </si>
  <si>
    <t>Année après la MES</t>
  </si>
  <si>
    <t>Stand Eigenmittel</t>
  </si>
  <si>
    <t>Kreditguthaben 1</t>
  </si>
  <si>
    <t>Kreditbedarf 1</t>
  </si>
  <si>
    <t>Amortisation Kredit 1</t>
  </si>
  <si>
    <t>Kreditstand 1</t>
  </si>
  <si>
    <t>Kreditguthaben 2</t>
  </si>
  <si>
    <t>Kreditbedarf 2</t>
  </si>
  <si>
    <t>Amortisation Kredit 2</t>
  </si>
  <si>
    <t>Kreditstand 2</t>
  </si>
  <si>
    <t>Invest; Restwert; CashFlow</t>
  </si>
  <si>
    <t>Invest; CashFlow</t>
  </si>
  <si>
    <t>[JJJJ]</t>
  </si>
  <si>
    <t>QM Chauffages au bois - Modèle de rentabilité - Résultats</t>
  </si>
  <si>
    <t>Quantité de chaleur fournie</t>
  </si>
  <si>
    <t>[CHF]</t>
  </si>
  <si>
    <t>Bilan</t>
  </si>
  <si>
    <t>Valeur résiduelle de l'installation</t>
  </si>
  <si>
    <t xml:space="preserve">Financement </t>
  </si>
  <si>
    <t>Crédits/prêts</t>
  </si>
  <si>
    <t>[CHF/an]</t>
  </si>
  <si>
    <t>Charges</t>
  </si>
  <si>
    <t>Coûts énergétiques</t>
  </si>
  <si>
    <t>Exploitation, entretien, autres</t>
  </si>
  <si>
    <t>Total des charges</t>
  </si>
  <si>
    <t>Total des recettes</t>
  </si>
  <si>
    <t>Remarques</t>
  </si>
  <si>
    <t>Gesamtertrag</t>
  </si>
  <si>
    <t>Energie</t>
  </si>
  <si>
    <t>EBITDA</t>
  </si>
  <si>
    <t>EBIT</t>
  </si>
  <si>
    <t>QM Chauffages au bois - Synthèse pour KliK-Tool "Justification de l’additionnalité de projets de chaleur à distance"</t>
  </si>
  <si>
    <t>Champs de résultat</t>
  </si>
  <si>
    <t>Onglet Paramètres de saisie ; section Évolution de référence</t>
  </si>
  <si>
    <t>Clients clé (ou groupe de clients clé présentant les mêmes caractéristiques)</t>
  </si>
  <si>
    <t>Type de bâtiment &amp; caractéristiques de consommation</t>
  </si>
  <si>
    <t>Puissance [kW]</t>
  </si>
  <si>
    <t>Besoins annuels de chaleur [MWh/an]</t>
  </si>
  <si>
    <t xml:space="preserve">Puissance en pleine configuration [kW] </t>
  </si>
  <si>
    <t>Onglet Consommation de chaleur ; section Évolution de référence</t>
  </si>
  <si>
    <t>Client clé</t>
  </si>
  <si>
    <t>Consommation de chaleur (énergie utile) (y compris effets des rénovations de bâtiment)</t>
  </si>
  <si>
    <t>[MWh/an]</t>
  </si>
  <si>
    <t>Consommation d’électricité centrale de chaleur à distance</t>
  </si>
  <si>
    <t>Consommation d’électricité totale par an</t>
  </si>
  <si>
    <t>Onglet Rentabilité ; Activité de projet</t>
  </si>
  <si>
    <t xml:space="preserve">Investissements et investissements de remplacement </t>
  </si>
  <si>
    <t>Réseau de chaleur à distance (40 ans)</t>
  </si>
  <si>
    <t>Centrale de chauffage resp. systèmes de chaleur décentralisés (15 ans)</t>
  </si>
  <si>
    <t>Valeur résiduelle réseau de chaleur à distance</t>
  </si>
  <si>
    <t>Coûts</t>
  </si>
  <si>
    <t>Exploitation et entretien</t>
  </si>
  <si>
    <t>Coûts d'énergie</t>
  </si>
  <si>
    <t>Total dépenses annuelles</t>
  </si>
  <si>
    <t>Revenus (hors indemnité)</t>
  </si>
  <si>
    <t>Contributions de raccordement / revenus exceptionnels</t>
  </si>
  <si>
    <t>Ventes de chaleur / revenus récurrents</t>
  </si>
  <si>
    <t>Subsides de tiers (canton, Confédération, commune)</t>
  </si>
  <si>
    <t>Dépenses et recettes non prises en compte</t>
  </si>
  <si>
    <t>Charges additionnelles</t>
  </si>
  <si>
    <t>Recettes additionnelles</t>
  </si>
  <si>
    <t xml:space="preserve">110a: La consommation de chaleur est trop faible ! </t>
  </si>
  <si>
    <t>110b: Les déperditions du réseau de chaleur sont trop faibles !</t>
  </si>
  <si>
    <t>110b: Les déperditions du réseau de chaleur sont trop élevées !</t>
  </si>
  <si>
    <t>Plus de 10 remarques !</t>
  </si>
  <si>
    <t>Il y a des avertissements dans le registre 'E1_Données de projet' !</t>
  </si>
  <si>
    <t>Explications relatives à l'outil d'analyse de rentabilité de QM Chauffages au bois</t>
  </si>
  <si>
    <r>
      <t xml:space="preserve">Remerciements
</t>
    </r>
    <r>
      <rPr>
        <sz val="10"/>
        <rFont val="Arial"/>
        <family val="2"/>
      </rPr>
      <t>Le présent outil a été élaboré sur mandat de SuisseEnergie. La suite du développement a été rendue possible grâce à Energie-bois Suisse et à la communauté de travail QM Chauffages au bois.</t>
    </r>
  </si>
  <si>
    <t>Informations générales</t>
  </si>
  <si>
    <t>Champs de résultat dont le contenu peut être copié et inséré dans un fichier externe.
Ces champs sont modifiables. Notez bien que toute modification de ces champs peut entraîner des erreurs en d’autres emplacements et, par conséquent, à des résultats erronés.</t>
  </si>
  <si>
    <t>Valeur par défaut des champs de saisie sur fond bleu clair.
Si nécessaire, la valeur ou la formule peut être transférée dans la cellule bleue correspondante afin de rétablir la valeur initiale.</t>
  </si>
  <si>
    <t>Valeurs ou formules prédéfinies dans les champs sur fond bleu clair.
Les écarts sont signalés dans les champs sur fond bleu clair.</t>
  </si>
  <si>
    <t>Personne en charge de l’édition de l'outil d'analyse de rentabilité</t>
  </si>
  <si>
    <t>Quantités de chaleur, déperditions du réseau et informations générales sur le projet</t>
  </si>
  <si>
    <t>Année de la première fourniture de chaleur: année à partir de laquelle des recettes ont été générées. (Reprise de la première année de fourniture de chaleur dans l’onglet «Consommateurs»).</t>
  </si>
  <si>
    <t>Rendement thermique annuel de l'installation de cogénération chaleur-force (CCF).
Le rendement global de la cogénération chaleur-force est calculé à partir de la somme des rendements thermique et électrique (voir illustration).</t>
  </si>
  <si>
    <t>Rendement électrique annuel de l'installation de cogénération chaleur-force (CCF).
Le rendement global de la cogénération chaleur-force est calculé à partir de la somme des rendements thermique et électrique (voir illustration).</t>
  </si>
  <si>
    <t>Rendement thermique annuel du producteur supplémentaire de chaleur.</t>
  </si>
  <si>
    <t>Prix d’achat du combustible biomasse (plaquettes de bois) en CHF/MWh d’énergie utile (mesurée sur le compteur de chaleur de la chaudière à plaquettes de bois)</t>
  </si>
  <si>
    <t>Prix du combustible utilisé pour le producteur supplémentaire de chaleur en CHF/MWh (énergie finale)</t>
  </si>
  <si>
    <t>Saisie des prix d'achat de l’énergie</t>
  </si>
  <si>
    <t>Prix de la récupération de chaleur résiduelle en CHF/MWh</t>
  </si>
  <si>
    <t>Saisie des frais d’exploitation et d'autres charges (dépenses importantes pour le projet)</t>
  </si>
  <si>
    <r>
      <rPr>
        <b/>
        <sz val="10"/>
        <rFont val="Arial"/>
        <family val="2"/>
      </rPr>
      <t>Frais d'exploitation externes</t>
    </r>
    <r>
      <rPr>
        <sz val="10"/>
        <rFont val="Arial"/>
        <family val="2"/>
      </rPr>
      <t xml:space="preserve"> pour le ramonage, la mesure des émissions, les contrats de service, etc. (élimination des cendres si elle n'est pas comprise dans le prix du combustible)</t>
    </r>
  </si>
  <si>
    <r>
      <rPr>
        <b/>
        <sz val="10"/>
        <rFont val="Arial"/>
        <family val="2"/>
      </rPr>
      <t>Frais d’entretien</t>
    </r>
    <r>
      <rPr>
        <sz val="10"/>
        <rFont val="Arial"/>
        <family val="2"/>
      </rPr>
      <t xml:space="preserve"> : pièces de rechange, réparations (pourcentage de l’investissement selon QMCB, voir à partir du point 140).</t>
    </r>
  </si>
  <si>
    <r>
      <t xml:space="preserve">Frais annuels de </t>
    </r>
    <r>
      <rPr>
        <b/>
        <sz val="10"/>
        <rFont val="Arial"/>
        <family val="2"/>
      </rPr>
      <t>loyer</t>
    </r>
    <r>
      <rPr>
        <sz val="10"/>
        <rFont val="Arial"/>
        <family val="2"/>
      </rPr>
      <t xml:space="preserve">, de </t>
    </r>
    <r>
      <rPr>
        <b/>
        <sz val="10"/>
        <rFont val="Arial"/>
        <family val="2"/>
      </rPr>
      <t>bail</t>
    </r>
    <r>
      <rPr>
        <sz val="10"/>
        <rFont val="Arial"/>
        <family val="2"/>
      </rPr>
      <t xml:space="preserve"> ou de </t>
    </r>
    <r>
      <rPr>
        <b/>
        <sz val="10"/>
        <rFont val="Arial"/>
        <family val="2"/>
      </rPr>
      <t>propriété/immeuble</t>
    </r>
    <r>
      <rPr>
        <sz val="10"/>
        <rFont val="Arial"/>
        <family val="2"/>
      </rPr>
      <t xml:space="preserve"> (introduire les frais effectifs)</t>
    </r>
  </si>
  <si>
    <t>Inflation annuelle générale</t>
  </si>
  <si>
    <t>Frais d’entretien spécifiques : pourcentage des coûts d’investissement (voir aussi Manuel de planification QMCB)
Remarque : les valeurs peuvent être ajustées manuellement afin de compenser les fluctuations de prix exceptionnelles.</t>
  </si>
  <si>
    <r>
      <t>Coûts d'exploitation : frais de personnel</t>
    </r>
    <r>
      <rPr>
        <sz val="10"/>
        <rFont val="Arial"/>
        <family val="2"/>
      </rPr>
      <t xml:space="preserve"> pour l'utilisation, le nettoyage, l'entretien, hors frais administratifs.
Valeur prescrite = valeur indicative Manuel de planification QMCB : 1,5% des coûts d'investissement pour la production de chaleur (pts 151-153)</t>
    </r>
  </si>
  <si>
    <r>
      <t>Autres frais annuels (</t>
    </r>
    <r>
      <rPr>
        <b/>
        <sz val="10"/>
        <rFont val="Arial"/>
        <family val="2"/>
      </rPr>
      <t>administration, assurance, impôts</t>
    </r>
    <r>
      <rPr>
        <sz val="10"/>
        <rFont val="Arial"/>
        <family val="2"/>
      </rPr>
      <t>, site internet, téléphonie, taxes publiques, ......, etc.).
Valeur par défaut : 1% du coûts d'investissement total (valeur indicative Manuel de planification QMCB : 0.5–1.5%)</t>
    </r>
  </si>
  <si>
    <t>Durée d’amortissement des composants de l’installation (voir aussi Manuel de planification QMCB)</t>
  </si>
  <si>
    <t>Étape 1 : L’année de démarrage du projet (point 110g) est toujours l’année des premiers investissements : ce champ ne peut pas être modifié ; les investissements non effectués dans les années des points 150b ff sont réalisés durant l’année de démarrage.
(Formule: 100 % de l’investissement total - parts d’investissement des points 150b ff)</t>
  </si>
  <si>
    <t>Part de la position dans l'investissement total.
Remarque : la somme de toutes les parts peut être supérieure à 100 %, car les frais de raccordement, par exemple, sont souvent payés avec un certain retard et doivent donc être préfinancés.</t>
  </si>
  <si>
    <r>
      <t xml:space="preserve">La saisie des </t>
    </r>
    <r>
      <rPr>
        <b/>
        <sz val="10"/>
        <rFont val="Arial"/>
        <family val="2"/>
      </rPr>
      <t>capitaux propres</t>
    </r>
    <r>
      <rPr>
        <sz val="10"/>
        <rFont val="Arial"/>
        <family val="2"/>
      </rPr>
      <t xml:space="preserve"> ou des capitaux-actions est nécessaire pour calculer la couverture des investissements.</t>
    </r>
  </si>
  <si>
    <r>
      <rPr>
        <b/>
        <sz val="10"/>
        <rFont val="Arial"/>
        <family val="2"/>
      </rPr>
      <t>Informations relatives au financement externe du projet</t>
    </r>
    <r>
      <rPr>
        <sz val="10"/>
        <rFont val="Arial"/>
        <family val="2"/>
      </rPr>
      <t xml:space="preserve">
Deux crédits / prêts peuvent être saisis.</t>
    </r>
  </si>
  <si>
    <t>Informations concernant les subventions</t>
  </si>
  <si>
    <r>
      <rPr>
        <b/>
        <sz val="10"/>
        <rFont val="Arial"/>
        <family val="2"/>
      </rPr>
      <t xml:space="preserve">Subventions uniques </t>
    </r>
    <r>
      <rPr>
        <sz val="10"/>
        <rFont val="Arial"/>
        <family val="2"/>
      </rPr>
      <t xml:space="preserve">
Trois «packs» de subventions uniques (p. ex. subvention cantonale, Fondation pour le climat, Aide Suisse aux Montagnards, etc.) avec des années de versement différentes peuvent être saisis.</t>
    </r>
  </si>
  <si>
    <t>Année de versement de la subvention unique du pack. Il est conseillé d’intégrer le versement de la subvention unique au calcul au plus tôt après la mise en service et idéalement à l’issue de la première année d’exploitation. Un retard de versement entraîne des intérêts supplémentaires pour les fonds externes nécessaires dans l’intervalle.</t>
  </si>
  <si>
    <r>
      <rPr>
        <b/>
        <sz val="10"/>
        <rFont val="Arial"/>
        <family val="2"/>
      </rPr>
      <t>Subventions pluriannuelles</t>
    </r>
    <r>
      <rPr>
        <sz val="10"/>
        <rFont val="Arial"/>
        <family val="2"/>
      </rPr>
      <t xml:space="preserve">
Outre les subventions uniques, il est également possible de saisir une subvention annuelle temporaire (p. ex. KliK)</t>
    </r>
  </si>
  <si>
    <t>Année du premier versement. Veuillez tenir compte de la durée de traitement pour le calcul / la libération des versements annuels. Il est conseillé de compter sur un premier versement au plus tôt l’année suivant la mise en service.</t>
  </si>
  <si>
    <t>Quantité moyenne de chaleur produite par an : calculée à partir de la quantité de chaleur produite par an conformément au registre « B1_Calculs », colonne « Besoins en chaleur » (point 532) (considération sur la durée du projet de 25 ans).</t>
  </si>
  <si>
    <t>Quantité de chaleur utile produite avec de la biomasse (plaquettes de bois) : calculée d’après la part de biomasse (point 115a)</t>
  </si>
  <si>
    <t>Quantité de chaleur utile produite directement à partir de la condensation des gaz de fumées de la chaudière à plaquettes de bois : calculée selon point 115b</t>
  </si>
  <si>
    <t>Prix du combustible fossile utilisé (mazout ou gaz naturel) en CHF/MWh (énergie finale). Si un combustible non fossile est utilisé pour couvrir les pointes de charge, il doit également être employé ici.</t>
  </si>
  <si>
    <t>Besoins en combustible pour la cogénération chaleur-force : calculée selon les points 115c et 115l</t>
  </si>
  <si>
    <t>Besoins en énergie finale du producteur supplémentaire de chaleur, calculés à partir des points 115e et 115n</t>
  </si>
  <si>
    <t>Quantité de chaleur utile produite, provenant de la récupération de chaleur résiduelle, calculés à partir du point 115f</t>
  </si>
  <si>
    <t>Consommation annuelle d'énergie auxiliaire à partir du réseau électrique, calculée à partir de 115w, 170a, j</t>
  </si>
  <si>
    <t>Production annuelle de charbon végétal, point 115x</t>
  </si>
  <si>
    <t>Coûts annuels d'électricité pour l'énergie auxiliaire (à partir du réseau électrique), calculés à partir des points 170l, 120f</t>
  </si>
  <si>
    <t>Recettes provenant de la vente d'énergie et de charbon végétal</t>
  </si>
  <si>
    <t>Montant total des subventions, calculé à partir des subventions uniques (point 166) et des subventions pluriannuelles (point 167)</t>
  </si>
  <si>
    <t>Coûts annuels et prix de revient de la chaleur
Coûts annuels = coûts annuels moyens, calculés à partir des points 170 à 179
Prix de revient de la chaleur = coûts spécifiques par kWh de chaleur utile fournie, calculés à partir des coûts annuels divisés par la chaleur utile moyenne produite (point 170a)</t>
  </si>
  <si>
    <t>Coûts annuels calculés à partir de la capitalisation des coûts d'investissement pour la production de chaleur, y compris le bâtiment de la chaufferie, composés des points 145a à 145h et 50 % des coûts de planification (point 145m), du taux d'intérêt réel et de la durée d'amortissement.</t>
  </si>
  <si>
    <t>Coûts annuels calculés à partir de la capitalisation des coûts d'investissement pour la distribution de chaleur, y compris les sous-stations, composée des points 145i-145l et de 50% des coûts de planification (point 145m), du taux d'intérêt réel et de la durée d'amortissement.</t>
  </si>
  <si>
    <t>Coûts annuels / Prix de revient de la chaleur</t>
  </si>
  <si>
    <t>Prix de revient de la chaleur</t>
  </si>
  <si>
    <t>Recettes provenant de la vente d'électricité et de charbon végétal, calculées à partir du point 177</t>
  </si>
  <si>
    <t>Somme des coûts annuels et des prix de revient de la chaleur des pts 193-197</t>
  </si>
  <si>
    <t>Coûts annuels, réduits grâce à la subvention</t>
  </si>
  <si>
    <t>Champ pour le nom et la désignation du projet et/ou de la variante : repris du point 106</t>
  </si>
  <si>
    <t>Personne chargée du traitement : reprise du point 107</t>
  </si>
  <si>
    <t>Structure tarifaire : des prix distincts peuvent être saisis pour plusieurs catégories de tarifs</t>
  </si>
  <si>
    <t>Catégorie tarifaire
Saisir un nom pour la catégorie tarifaire dans le champ correspondant.
Le champ «% de la quantité de chaleur» indique la part de la quantité de chaleur de cette catégorie tarifaire, calculée à l’aide des informations de l’onglet E3_Consommateurs.</t>
  </si>
  <si>
    <t>Prix de base de la catégorie tarifaire : prix de base en CHF par an et par kW de puissance thermique installé souscrite conformément au contrat de fourniture de chaleur.
Pour effectuer un calcul sans prix de base, indiquer zéro dans ce champ.
Les prix de base par kW de puissance installé diminuent en général légèrement au fur et à mesure que la puissance installé augmente.</t>
  </si>
  <si>
    <t xml:space="preserve">Durée contractuelle de la catégorie tarifaire : durée contractuelle habituelle (moyenne) des contrats de fourniture de chaleur de cette catégorie tarifaire. À l’issue de cette durée, un nouveau contrat peut être négocié avec d’autres tarifs. Les contrats étant en général reconduits tacitement, leur échéance n’a pas d’influence sur les calculs de l’onglet «B1_Calculs».
La durée contractuelle est utilisée pour le calcul des coûts du capital des clients de chaleur (point 330). </t>
  </si>
  <si>
    <r>
      <rPr>
        <b/>
        <sz val="10"/>
        <rFont val="Arial"/>
        <family val="2"/>
      </rPr>
      <t>Subvention unique</t>
    </r>
    <r>
      <rPr>
        <sz val="10"/>
        <rFont val="Arial"/>
        <family val="2"/>
      </rPr>
      <t xml:space="preserve"> : Subvention unique pour le raccordement au réseau de chaleur. Le montant est versé directement au client. Le montant doit être inscrit en positif. La contribution est prise en compte dans les coûts d'investissement du client (point 330).</t>
    </r>
  </si>
  <si>
    <r>
      <rPr>
        <b/>
        <sz val="10"/>
        <rFont val="Arial"/>
        <family val="2"/>
      </rPr>
      <t>Coûts annuels en capital</t>
    </r>
    <r>
      <rPr>
        <sz val="10"/>
        <rFont val="Arial"/>
        <family val="2"/>
      </rPr>
      <t xml:space="preserve"> pour les consommateurs de chaleur : amortissement linéaire sans intérêts du forfait unique de raccordement (point 325) moins la contribution à l'installation (point 326) sur la durée du contrat (point 21Xc).</t>
    </r>
  </si>
  <si>
    <t>Prix de revient de la chaleur pour les consommateurs: calculé d’après les coûts annuels (point 334) et la consommation de chaleur (point 320)</t>
  </si>
  <si>
    <r>
      <rPr>
        <b/>
        <sz val="10"/>
        <rFont val="Arial"/>
        <family val="2"/>
      </rPr>
      <t>Onglet «B1_Calculs»</t>
    </r>
    <r>
      <rPr>
        <sz val="10"/>
        <rFont val="Arial"/>
        <family val="2"/>
      </rPr>
      <t xml:space="preserve">
</t>
    </r>
    <r>
      <rPr>
        <b/>
        <sz val="10"/>
        <rFont val="Arial"/>
        <family val="2"/>
      </rPr>
      <t xml:space="preserve">Feuille de calcul </t>
    </r>
    <r>
      <rPr>
        <sz val="10"/>
        <rFont val="Arial"/>
        <family val="2"/>
      </rPr>
      <t xml:space="preserve">: Représentation de l’évolution financière simplifiée du projet sur 25 ans.
Les sections Coûts d’exploitation (point 510)  se rapportent à la première année d’exploitation et à un taux d’utilisation de 100 % (qui n’est généralement pas encore atteint!). Ces données doivent contribuer à une meilleure appréciation des dépenses et des recettes à prévoir. 
Les procédés de calcul dynamique des investissements tiennent compte de la date de versement des recettes et des dépenses individuelles en fin d’année.
</t>
    </r>
  </si>
  <si>
    <r>
      <t>Évolution économique (</t>
    </r>
    <r>
      <rPr>
        <b/>
        <sz val="10"/>
        <rFont val="Arial"/>
        <family val="2"/>
      </rPr>
      <t>graphique</t>
    </r>
    <r>
      <rPr>
        <sz val="10"/>
        <rFont val="Arial"/>
        <family val="2"/>
      </rPr>
      <t>) au cours des périodes 1 à 25.</t>
    </r>
  </si>
  <si>
    <t>Diagramme illustrant l'évolution du solde du crédit et de la valeur résiduelle de l'installation (chaufferie et réseau)  au cours des périodes 1 à 25.
Remarque : afin de garantir le crédit, la valeur résiduelle ne doit pas être inférieure au solde du crédit !</t>
  </si>
  <si>
    <t xml:space="preserve">Total des coûts d’exploitation : calculé en additionnant les points 510a-510k ; l’augmentation des prix correspond à la valeur moyenne pondérée des hausses de prix des points 510a-510k </t>
  </si>
  <si>
    <t>Recettes provenant de la vente d'électricité : point 177a</t>
  </si>
  <si>
    <t>Recettes provenant de la vente de charbon végétal : point 177b</t>
  </si>
  <si>
    <t>Augmentation des prix [%]</t>
  </si>
  <si>
    <t>Calculs sur la durée du projet de 25 ans</t>
  </si>
  <si>
    <r>
      <rPr>
        <b/>
        <sz val="10"/>
        <rFont val="Arial"/>
        <family val="2"/>
      </rPr>
      <t>Année</t>
    </r>
    <r>
      <rPr>
        <sz val="10"/>
        <rFont val="Arial"/>
        <family val="2"/>
      </rPr>
      <t xml:space="preserve"> : dans cet outil de calcul, 1 période = 1 année d’exploitation.</t>
    </r>
  </si>
  <si>
    <r>
      <rPr>
        <b/>
        <sz val="10"/>
        <rFont val="Arial"/>
        <family val="2"/>
      </rPr>
      <t>Besoins en chaleur</t>
    </r>
    <r>
      <rPr>
        <sz val="10"/>
        <rFont val="Arial"/>
        <family val="2"/>
      </rPr>
      <t xml:space="preserve"> des consommateurs raccordés à l'instant présent, y compris supplément en pourcentage pour les pertes du réseau (point 110b) et prise en compte de la baisse annuelle des besoins en chaleur (point 110c)</t>
    </r>
  </si>
  <si>
    <r>
      <t xml:space="preserve">Les </t>
    </r>
    <r>
      <rPr>
        <b/>
        <sz val="10"/>
        <rFont val="Arial"/>
        <family val="2"/>
      </rPr>
      <t>contributions de raccordement</t>
    </r>
    <r>
      <rPr>
        <sz val="10"/>
        <rFont val="Arial"/>
        <family val="2"/>
      </rPr>
      <t xml:space="preserve"> des consommateurs (point 325) sont comptabilisées dans l'année du raccordement (point 323). Les contributions de raccordement servent au financement et ne sont pas considérées comme des recettes.
Les montants peuvent être reportés sur les années suivantes si cela est prévu dans le contrat.
Remarque : si le total des contributions supplémentaires au point 543 diffère du total au point 325, l'en-tête de colonne est colorée en rouge.</t>
    </r>
  </si>
  <si>
    <r>
      <t xml:space="preserve">Versement de </t>
    </r>
    <r>
      <rPr>
        <b/>
        <sz val="10"/>
        <rFont val="Arial"/>
        <family val="2"/>
      </rPr>
      <t>subventions</t>
    </r>
    <r>
      <rPr>
        <sz val="10"/>
        <rFont val="Arial"/>
        <family val="2"/>
      </rPr>
      <t>, versées en une seule fois (point 166). Ces subventions sont considérées comme une aide financière et non comme une recette.
Attention : le fait de remplacer les formules efface le calcul.</t>
    </r>
  </si>
  <si>
    <r>
      <rPr>
        <b/>
        <sz val="10"/>
        <rFont val="Arial"/>
        <family val="2"/>
      </rPr>
      <t>Coûts d'investissement nets</t>
    </r>
    <r>
      <rPr>
        <sz val="10"/>
        <rFont val="Arial"/>
        <family val="2"/>
      </rPr>
      <t xml:space="preserve"> qui doivent être engagés au cours de l'année concernée. Calculés à partir des points 541 à 543</t>
    </r>
  </si>
  <si>
    <r>
      <rPr>
        <b/>
        <sz val="10"/>
        <rFont val="Arial"/>
        <family val="2"/>
      </rPr>
      <t>Fonds propres</t>
    </r>
    <r>
      <rPr>
        <sz val="10"/>
        <rFont val="Arial"/>
        <family val="2"/>
      </rPr>
      <t xml:space="preserve"> nécessaires (voir point 155) pour l'année concernée afin de couvrir les investissements nets (point 544).
Les montants peuvent être modifiés manuellement.
Remarque : si le total des fonds propres au point 551 dépasse le total au point 155, l'en-tête de colonne s'affiche en rouge.</t>
    </r>
  </si>
  <si>
    <r>
      <rPr>
        <b/>
        <sz val="10"/>
        <rFont val="Arial"/>
        <family val="2"/>
      </rPr>
      <t>Crédits / prêts</t>
    </r>
    <r>
      <rPr>
        <sz val="10"/>
        <rFont val="Arial"/>
        <family val="2"/>
      </rPr>
      <t xml:space="preserve"> : le versement des crédits et des prêts s'effectue à partir de l'année de départ (point 160c) jusqu'à épuisement du crédit (point 160a).
L'amortissement du crédit est effectué au point 580 dans le cadre du calcul du cash-flow (point 581).
Les paiements d'intérêts (point 578) sont comptabilisés dans le calcul des charges.</t>
    </r>
  </si>
  <si>
    <r>
      <rPr>
        <b/>
        <sz val="10"/>
        <rFont val="Arial"/>
        <family val="2"/>
      </rPr>
      <t>Déficit de financement</t>
    </r>
    <r>
      <rPr>
        <sz val="10"/>
        <rFont val="Arial"/>
        <family val="2"/>
      </rPr>
      <t xml:space="preserve"> Calcul d'un éventuel déficit de financement. Celui-ci est cumulé et peut être comparé au cash-flow cumulé (point 582) dans la colonne voisine.</t>
    </r>
  </si>
  <si>
    <t>Versement de subventions pluriannuelles (point 167)
Les valeurs peuvent être remplacées.
Attention : le remplacement des formules efface le calcul.</t>
  </si>
  <si>
    <t>Coûts d'électricité pour l'énergie auxiliaire (à partir du réseau électrique) : hausse de prix incluse dans le calcul</t>
  </si>
  <si>
    <t>Coûts d'exploitation (point 125b ; 510g) et d'administration (point 125a ; 510h) : hausse de prix incluse dans le calcul, les coûts ne sont calculés qu’à partir de la première année de fourniture de chaleur</t>
  </si>
  <si>
    <t>Total des charges du chauffage à distance</t>
  </si>
  <si>
    <r>
      <rPr>
        <b/>
        <sz val="10"/>
        <rFont val="Arial"/>
        <family val="2"/>
      </rPr>
      <t>Cash-flow</t>
    </r>
    <r>
      <rPr>
        <sz val="10"/>
        <rFont val="Arial"/>
        <family val="2"/>
      </rPr>
      <t xml:space="preserve"> : calcul des liquidités (entrées/sorties nettes) à partir des recettes totales (point 569), des charges totales avant amortissements (point 579) et de l'amortissement des crédits (point 580).</t>
    </r>
  </si>
  <si>
    <t>Amortissement des investissements (point 145) sur la durée d'amortissement (point 143)
Remarque : les investissements de remplacement dus sont également amortis.</t>
  </si>
  <si>
    <t>Compte de résultat : bénéfice annuel / perte sur le produit (point 569), charges (point 579) et amortissements (point 585)</t>
  </si>
  <si>
    <t>Compte de résultat : excédent / déficit cumulé</t>
  </si>
  <si>
    <r>
      <rPr>
        <b/>
        <sz val="10"/>
        <rFont val="Arial"/>
        <family val="2"/>
      </rPr>
      <t>Financement</t>
    </r>
    <r>
      <rPr>
        <sz val="10"/>
        <rFont val="Arial"/>
        <family val="2"/>
      </rPr>
      <t xml:space="preserve"> : synthèse</t>
    </r>
  </si>
  <si>
    <t>Coûts annuels : l'évaluation est effectuée d'une part pour l'année de mise en service (point 110h), pour une année au choix dans la période considérée et sous forme de somme sur toute la durée du projet.</t>
  </si>
  <si>
    <r>
      <t xml:space="preserve">Vente de chaleur et d'énergie ainsi que </t>
    </r>
    <r>
      <rPr>
        <b/>
        <sz val="10"/>
        <rFont val="Arial"/>
        <family val="2"/>
      </rPr>
      <t>recettes</t>
    </r>
    <r>
      <rPr>
        <sz val="10"/>
        <rFont val="Arial"/>
        <family val="2"/>
      </rPr>
      <t xml:space="preserve"> provenant de la vente de charbon végétal : somme calculée à partir des points 561, 562 et 563
Attention : cette évaluation n'est pas ajustée si une dépense effective est saisie dans le champ de saisie du point 567 !</t>
    </r>
  </si>
  <si>
    <t>Subventions annuelles et autres : somme calculée à partir des points 564 et 566
Attention : cette évaluation n'est pas ajustée si une dépense effective est saisie dans le champ de saisie du point 567 !</t>
  </si>
  <si>
    <t>Onglet «A2_Compte de résultat prévisionnel»</t>
  </si>
  <si>
    <r>
      <rPr>
        <b/>
        <sz val="10"/>
        <rFont val="Arial"/>
        <family val="2"/>
      </rPr>
      <t>Autres charges financières</t>
    </r>
    <r>
      <rPr>
        <sz val="10"/>
        <rFont val="Arial"/>
        <family val="2"/>
      </rPr>
      <t xml:space="preserve"> (champ de saisie pour saisie individuelle)</t>
    </r>
  </si>
  <si>
    <r>
      <rPr>
        <b/>
        <sz val="10"/>
        <rFont val="Arial"/>
        <family val="2"/>
      </rPr>
      <t>EBIT</t>
    </r>
    <r>
      <rPr>
        <sz val="10"/>
        <rFont val="Arial"/>
        <family val="2"/>
      </rPr>
      <t xml:space="preserve"> (Earnings Before Interest and Taxes) Bénéfice avant intérêts et impôts
EBITDA (point 711) moins amortissements (point 585)</t>
    </r>
  </si>
  <si>
    <r>
      <rPr>
        <b/>
        <sz val="10"/>
        <rFont val="Arial"/>
        <family val="2"/>
      </rPr>
      <t>EBITDA</t>
    </r>
    <r>
      <rPr>
        <sz val="10"/>
        <rFont val="Arial"/>
        <family val="2"/>
      </rPr>
      <t xml:space="preserve"> (Earnings Before Interest, Taxes, Deprecation and Amortization) Bénéfice avant intérêts, impôts, amortissements
Résultat brut (point 710) moins les frais d'exploitation et d'entretien (points 574a, b, 575 et 576)</t>
    </r>
  </si>
  <si>
    <r>
      <rPr>
        <b/>
        <sz val="10"/>
        <rFont val="Arial"/>
        <family val="2"/>
      </rPr>
      <t>Impôts</t>
    </r>
    <r>
      <rPr>
        <sz val="10"/>
        <rFont val="Arial"/>
        <family val="2"/>
      </rPr>
      <t xml:space="preserve"> (champ de saisie pour saisie individuelle)</t>
    </r>
  </si>
  <si>
    <r>
      <rPr>
        <b/>
        <sz val="10"/>
        <rFont val="Arial"/>
        <family val="2"/>
      </rPr>
      <t>Bénéfice net / Perte nette</t>
    </r>
    <r>
      <rPr>
        <sz val="10"/>
        <rFont val="Arial"/>
        <family val="2"/>
      </rPr>
      <t xml:space="preserve"> : EBIT (point 712) moins intérêts (point 578), impôts (point 713) et autres charges financières (point 714)</t>
    </r>
  </si>
  <si>
    <t>Bénéfice net cumulé / Perte nette cumulée</t>
  </si>
  <si>
    <r>
      <t xml:space="preserve">Onglet KliK </t>
    </r>
    <r>
      <rPr>
        <b/>
        <sz val="10"/>
        <rFont val="Arial"/>
        <family val="2"/>
      </rPr>
      <t>Paramètres de saisie</t>
    </r>
  </si>
  <si>
    <r>
      <t xml:space="preserve">Onglet KliK </t>
    </r>
    <r>
      <rPr>
        <b/>
        <sz val="10"/>
        <rFont val="Arial"/>
        <family val="2"/>
      </rPr>
      <t>Consommation de chaleur </t>
    </r>
    <r>
      <rPr>
        <sz val="10"/>
        <rFont val="Arial"/>
        <family val="2"/>
      </rPr>
      <t xml:space="preserve">; section </t>
    </r>
    <r>
      <rPr>
        <b/>
        <sz val="10"/>
        <rFont val="Arial"/>
        <family val="2"/>
      </rPr>
      <t>Évolution de référence</t>
    </r>
  </si>
  <si>
    <t>Besoin total en chaleur du client comprenant le besoin en chaleur ambiante, en eau chaude et en chaleur industrielle (à partir du relevé de situation V34, les valeurs peuvent être directement reprises de l’onglet «Consommateurs». Pour les relevés de situation plus anciens, il est possible de reprendre le total des valeurs individuelles).</t>
  </si>
  <si>
    <t>Graphique : Évolution du taux d'utilisation du réseau pendant la durée du projet (diagramme)</t>
  </si>
  <si>
    <t>Évolution du taux d'utilisation du réseau</t>
  </si>
  <si>
    <t>Taux d'utilisation du réseau</t>
  </si>
  <si>
    <r>
      <rPr>
        <b/>
        <sz val="10"/>
        <rFont val="Arial"/>
        <family val="2"/>
      </rPr>
      <t>Consommation de chaleur</t>
    </r>
    <r>
      <rPr>
        <sz val="10"/>
        <rFont val="Arial"/>
        <family val="2"/>
      </rPr>
      <t xml:space="preserve"> : Les besoins en chaleur utiles sont repris de l’onglet «E3_Consommateurs» en fonction de la date de raccordement
À la différence du présent outil, la période considérée ne couvre que 15 ans.</t>
    </r>
  </si>
  <si>
    <r>
      <rPr>
        <b/>
        <sz val="10"/>
        <rFont val="Arial"/>
        <family val="2"/>
      </rPr>
      <t>Consommation d’électricité</t>
    </r>
    <r>
      <rPr>
        <sz val="10"/>
        <rFont val="Arial"/>
        <family val="2"/>
      </rPr>
      <t xml:space="preserve"> : Le besoin d’électricité en guise d’énergie auxiliaire est repris de l’onglet «B1_Calculs» (point 556).</t>
    </r>
  </si>
  <si>
    <t>Coûts annuels de l'énergie
basés sur la consommation/production annuelle moyenne de chaleur, point 170a</t>
  </si>
  <si>
    <t>Coûts annuels de l'énergie du producteur supplémentaire de chaleur (non fossile), calculés à partir des points 170f, 120d</t>
  </si>
  <si>
    <t>Coûts annuels de l'énergie de la biomasse (plaquettes de bois), calculés à partir des points 170b et 120a</t>
  </si>
  <si>
    <t>Coûts de l'énergie du producteur supplémentaire de chaleur (non fossile) : point 175c</t>
  </si>
  <si>
    <t>Coûts de l'énergie de la récupération de chaleur résiduelle : point 175d</t>
  </si>
  <si>
    <t>Coûts de l'énergie du producteur supplémentaire de chaleur : hausse de prix incluse dans le calcul</t>
  </si>
  <si>
    <t>Coûts de l'énergie de la récupération de chaleur résiduelle : hausse de prix incluse dans le calcul</t>
  </si>
  <si>
    <r>
      <rPr>
        <b/>
        <sz val="10"/>
        <rFont val="Arial"/>
        <family val="2"/>
      </rPr>
      <t>Résultat brut</t>
    </r>
    <r>
      <rPr>
        <sz val="10"/>
        <rFont val="Arial"/>
        <family val="2"/>
      </rPr>
      <t xml:space="preserve"> Calculé à partir du rendement total (point 569) moins les coûts de l'énergie (points 571a-572b)</t>
    </r>
  </si>
  <si>
    <r>
      <rPr>
        <b/>
        <sz val="10"/>
        <rFont val="Arial"/>
        <family val="2"/>
      </rPr>
      <t>Coûts de l'énergie</t>
    </r>
    <r>
      <rPr>
        <sz val="10"/>
        <rFont val="Arial"/>
        <family val="2"/>
      </rPr>
      <t xml:space="preserve"> : somme calculée à partir des points 571 et 572.
Attention : cette évaluation n'est pas ajustée si une dépense effective est saisie dans le champ de saisie du point 577 !</t>
    </r>
  </si>
  <si>
    <r>
      <rPr>
        <b/>
        <sz val="10"/>
        <rFont val="Arial"/>
        <family val="2"/>
      </rPr>
      <t>Dépenses et recettes non prises en compte</t>
    </r>
    <r>
      <rPr>
        <sz val="10"/>
        <rFont val="Arial"/>
        <family val="2"/>
      </rPr>
      <t xml:space="preserve"> :
Les montants des colonnes «Charges additionnelles» (point 561) et «Recettes additionnelles» (point 574) sont mentionnés ici. Les lignes correspondant à ces montants n’étant pas définies, ceux-ci doivent être reportés manuellement dans les champs appropriés avant l’exportation.</t>
    </r>
  </si>
  <si>
    <t>Chaleur annuelle</t>
  </si>
  <si>
    <r>
      <rPr>
        <b/>
        <sz val="11"/>
        <rFont val="Arial"/>
        <family val="2"/>
      </rPr>
      <t>Évaluations concernant la chaleur annuelle :</t>
    </r>
    <r>
      <rPr>
        <sz val="10"/>
        <rFont val="Arial"/>
        <family val="2"/>
      </rPr>
      <t xml:space="preserve"> Les évaluations sont effectuées pour les mêmes périodes que celles décrites au point 620</t>
    </r>
  </si>
  <si>
    <t>Déperditions du réseau de chaleur à distance par rapport à la quantité de chaleur injectée dans le réseau (exigence QMCB ≤ 10 %). Pour les réseaux en cours d’extension, il convient d’indiquer au mieux une déperdition moyenne.</t>
  </si>
  <si>
    <t>Part de la chaleur utile produite en %, produite directement à partir de la condensation des gaz de fumées de la chaudière à plaquettes de bois.</t>
  </si>
  <si>
    <t>Part de la chaleur utile produite en %, produite par une installation de cogénération chaleur-force (CCF).</t>
  </si>
  <si>
    <t>Part de la chaleur utile produite en %, produite par une pompe à chaleur (PAC).</t>
  </si>
  <si>
    <t>Part de la chaleur utile produite en %, produite par un producteur supplémentaire de chaleur. 
La production supplémentaire de chaleur est ouvert à toutes les technologies.</t>
  </si>
  <si>
    <t>Part de la chaleur utile produite en %, produite à partir de la récupération de chaleur résiduelle.</t>
  </si>
  <si>
    <t>Part de la chaleur utile produite en %, produite à base d’énergie fossile : calculé à partir de des parts de point 115a - 115f.</t>
  </si>
  <si>
    <t>Charbon végétal produit avec la cogénération chaleur-force en m³/an ou t/an. Seul le charbon végétal commercialisable doit être indiqué, à l'exclusion des cendres.</t>
  </si>
  <si>
    <t>Prix de l’électricité en CHF/kWh (y compris part des frais de raccordement, etc.)
Recommandation si le chiffre est inconnu : 30 ct./kWhel</t>
  </si>
  <si>
    <t>Prix moyen de vente du charbon végétal en CHF/m³ ou CHF/t</t>
  </si>
  <si>
    <r>
      <t xml:space="preserve">Étape 2 ff : Année et part d’investissement des années suivantes. Par défaut, l’année suivant l’année de démarrage est sélectionnée.
Ce champ peut être modifié.
</t>
    </r>
    <r>
      <rPr>
        <b/>
        <sz val="10"/>
        <rFont val="Arial"/>
        <family val="2"/>
      </rPr>
      <t>Remarque</t>
    </r>
    <r>
      <rPr>
        <sz val="10"/>
        <rFont val="Arial"/>
        <family val="2"/>
      </rPr>
      <t xml:space="preserve"> : aucune année ne doit être saisie deux fois.
</t>
    </r>
    <r>
      <rPr>
        <b/>
        <sz val="10"/>
        <rFont val="Arial"/>
        <family val="2"/>
      </rPr>
      <t>Attention</t>
    </r>
    <r>
      <rPr>
        <sz val="10"/>
        <rFont val="Arial"/>
        <family val="2"/>
      </rPr>
      <t>: toute frappe dans ce champ supprime la formule !</t>
    </r>
  </si>
  <si>
    <t>Saisie des quantités d'énergie et des rendements</t>
  </si>
  <si>
    <t>Saisie des quantités de la production d'énergie et des rendements</t>
  </si>
  <si>
    <t>Part de la chaleur utile produite à partir de la chaudière à plaquettes de bois</t>
  </si>
  <si>
    <t>Part de la chaleur utile produite en %, produite à partir de la chaudière à plaquettes de bois.
100 % correspond à une installation monovalente. La part de la condensation des gaz de fumées de la chaudière à plaquettes de bois est saisie séparément.</t>
  </si>
  <si>
    <t>Part de la chaleur utile produite par la cogénération chaleur-force (CCF)</t>
  </si>
  <si>
    <t>Part de la chaleur utile produite à partir de la condensation des fumées</t>
  </si>
  <si>
    <t>Part de la chaleur utile produite par une pompe à chaleur (PAC)</t>
  </si>
  <si>
    <t>Part de la chaleur utile produite par un producteur supplémentaire de chaleur</t>
  </si>
  <si>
    <t>Part de la chaleur utile produite à partir de la récupération de chaleur résiduelle</t>
  </si>
  <si>
    <t>Rendement thermique de la cogénération chaleur-force (CCF)</t>
  </si>
  <si>
    <t>Rendement électrique de la cogénération chaleur-force (CCF)</t>
  </si>
  <si>
    <t>Rendement thermique du producteur supplémentaire de chaleur</t>
  </si>
  <si>
    <t>Coéfficient de performance annuel (COPA) de la pompe à chaleur (PAC)</t>
  </si>
  <si>
    <t>Production de charbon végétal</t>
  </si>
  <si>
    <t>CHF/MWh d'énergie finale</t>
  </si>
  <si>
    <t>Prix du combustible du producteur supplémentaire de chaleur</t>
  </si>
  <si>
    <t>Prix de l'électricité de la pompe à chaleur (PAC)</t>
  </si>
  <si>
    <t>Prix de la récupération de chaleur résiduelle</t>
  </si>
  <si>
    <t>Tarif moyen de rétribution/rachat d'électricité en CHF/kWhel pour l'électricité injectée dans le réseau, y compris garantie d'origine (GO)</t>
  </si>
  <si>
    <t>Tarif moyen de rétribution/rachat d'électricité</t>
  </si>
  <si>
    <t>Prix de vente du charbon végétal</t>
  </si>
  <si>
    <t>Frais d'exploitation et d'autres charges</t>
  </si>
  <si>
    <t>Frais de personnel (pour le service, le nettoyage, etc.)</t>
  </si>
  <si>
    <t>Frais d'exploitation externes (service, ramonage, etc.)</t>
  </si>
  <si>
    <t>Autres frais (administration, assurances, impôts etc.)</t>
  </si>
  <si>
    <r>
      <rPr>
        <b/>
        <sz val="10"/>
        <rFont val="Arial"/>
        <family val="2"/>
      </rPr>
      <t>Inflation annuelle générale</t>
    </r>
    <r>
      <rPr>
        <sz val="10"/>
        <rFont val="Arial"/>
        <family val="2"/>
      </rPr>
      <t xml:space="preserve"> en % : il est possible de saisir une valeur globale servant de prescription dans les inflations individuelles dans l’onglet B1_Calculs (point 505).</t>
    </r>
  </si>
  <si>
    <r>
      <rPr>
        <b/>
        <sz val="10"/>
        <rFont val="Arial"/>
        <family val="2"/>
      </rPr>
      <t>Taux d'intérêt nominal</t>
    </r>
    <r>
      <rPr>
        <sz val="10"/>
        <rFont val="Arial"/>
        <family val="2"/>
      </rPr>
      <t xml:space="preserve"> : taux d'intérêt nominal actuel</t>
    </r>
  </si>
  <si>
    <r>
      <rPr>
        <b/>
        <sz val="10"/>
        <rFont val="Arial"/>
        <family val="2"/>
      </rPr>
      <t>Taux d'intérêt réel</t>
    </r>
    <r>
      <rPr>
        <sz val="10"/>
        <rFont val="Arial"/>
        <family val="2"/>
      </rPr>
      <t xml:space="preserve"> : calculé à partir du taux d'intérêt nominal (125n) et de l'inflation moyenne (125m)</t>
    </r>
  </si>
  <si>
    <t>Construction Bâtiments Environs</t>
  </si>
  <si>
    <t>Composants de la cogénération chaleur-force (CCF)</t>
  </si>
  <si>
    <t>Composants de la pompe à chaleur (PAC)</t>
  </si>
  <si>
    <t>Composants de l'installation spécifiques au plaquettes de bois</t>
  </si>
  <si>
    <t>Composants de sondes géothermiques ou d'utilisation des eaux souterraines</t>
  </si>
  <si>
    <t>Composants du producteur supplémentaire de chaleur (non fossile)</t>
  </si>
  <si>
    <t>Composants de la récupération de chaleur résiduelle</t>
  </si>
  <si>
    <t>Composants spécifiques à la de pointe de puissance (chaudière fossile)</t>
  </si>
  <si>
    <t>Installations dans la chaufferie (CVCSE)</t>
  </si>
  <si>
    <t>Frais de planification et d’imprévus (durée d’amortissement moyenne).
Ce poste n’est pas inclus dans le calcul de la valeur résiduelle !</t>
  </si>
  <si>
    <t>Coûts d'investissement total</t>
  </si>
  <si>
    <t>Capitaux propres</t>
  </si>
  <si>
    <t>Durée du crédit en années</t>
  </si>
  <si>
    <t>Capitaux propres / Capitaux-actions</t>
  </si>
  <si>
    <t>Calcul du total des coûts de raccordement (uniques) (somme de E3_Consommateurs, point 325)</t>
  </si>
  <si>
    <t>Total des coûts de raccordement</t>
  </si>
  <si>
    <t>Au cours de l'année où commence l'amortissement du crédit/prêt, le premier versement amortissant est dû.</t>
  </si>
  <si>
    <t>Année de début du crédit/prêt. C’est l’année de déblocage du prêt pour le projet et où la première mensualité est due. Le paiement des intérêts intervient toujours l’année suivante.</t>
  </si>
  <si>
    <t>Année du début de l'amortissement</t>
  </si>
  <si>
    <t>Moyenne de chaleur annuelle produite</t>
  </si>
  <si>
    <t>Chaleur annuelle produite par biomasse (plaquettes de bois)</t>
  </si>
  <si>
    <t>Chaleur annuelle produite par la condensation des gaz de fumées</t>
  </si>
  <si>
    <t>Besoins annuels en combustible pour la cogénération chaleur-force (CCF)</t>
  </si>
  <si>
    <t>Énergie finale</t>
  </si>
  <si>
    <t>Chaleur annuelle produite par la pompe à chaleur (PAC)</t>
  </si>
  <si>
    <t>Besoins annuels en énergie finale du producteur supplémentaire de chaleur</t>
  </si>
  <si>
    <t>Chaleur annuelle produite par la récupération de chaleur résiduelle</t>
  </si>
  <si>
    <t>Besoins annuels en énergie finale du combustible fossile</t>
  </si>
  <si>
    <t>Quantité d'électricité produite par la cogénération chaleur-force (CCF) : calculée selon les points 115c et 115m</t>
  </si>
  <si>
    <t>Électricité annuelle produite par la cogénération chaleur-force (CCF)</t>
  </si>
  <si>
    <t>Consomm. ann. d'électricité produite par la CCF de la pompe à chaleur (PAC)</t>
  </si>
  <si>
    <t>Consomm. ann. d'électricité produite par la CCF de l'énergie auxiliaire</t>
  </si>
  <si>
    <t>Consomm. ann. d'électricité de l'énergie auxiliaire, à partir du réseau électr.</t>
  </si>
  <si>
    <t>Consomm. ann. d'électricité de la PAC, à partir du réseau électr.</t>
  </si>
  <si>
    <t>Réinjection annuelle d'électricité dans le réseau électrique, calculée à partir des points 170i, 115u, 115w</t>
  </si>
  <si>
    <t>Réinjection annuelle d'électricité dans le réseau électrique</t>
  </si>
  <si>
    <t>Production annuelle de charbon végétal</t>
  </si>
  <si>
    <t>Coûts annuels de l'énergie de la récupération de chaleur résiduelle, calculés à partir du point 170g, 120h</t>
  </si>
  <si>
    <t>Coûts annuels de l'énergie pour l'achat d'énergie fossile de pointe, calculés à partir des points 170h et 120e</t>
  </si>
  <si>
    <t>Valeurs annuelles calculées</t>
  </si>
  <si>
    <t>Coûts annuels de l'énergie</t>
  </si>
  <si>
    <t>Coûts annuels de la biomasse (plaquettes de bois)</t>
  </si>
  <si>
    <t>Coûts annuels de l'énergie de la cogénération chaleur-force (CCF), calculés à partir des points 170d et 120c</t>
  </si>
  <si>
    <t>Coûts annuels de l'énergie de la cogénération chaleur-force (CCF)</t>
  </si>
  <si>
    <t>Coûts annuels de l'énergie du producteur supplémentaire de chaleur</t>
  </si>
  <si>
    <t>Coûts annuels de l'énergie de la récupération de chaleur résiduelle</t>
  </si>
  <si>
    <t>Coûts annuels de l'énergie fossile</t>
  </si>
  <si>
    <t>Coûts annuels d'électricité du réseau électr. pour la pompe à chaleur</t>
  </si>
  <si>
    <t>Coûts annuels d'électricité du réseau électr. pour l'énergie auxiliaire</t>
  </si>
  <si>
    <t>Recettes annuelles</t>
  </si>
  <si>
    <t>Recettes annuelles de la réinjection d'électricité dans le réseau électrique</t>
  </si>
  <si>
    <t>Recettes provenant de la réinjection annuelle d'électricité dans le réseau électrique, calculées à partir des points 170m, 120m</t>
  </si>
  <si>
    <t>Recettes annuelles provenant de la vente de charbon végétal</t>
  </si>
  <si>
    <t>Recettes annuelles provenant de la vente de charbon végétal, calculé à partir des points 115x et 120n</t>
  </si>
  <si>
    <t>Recettes annuelles de la vente d'électricité et de charbon végétal</t>
  </si>
  <si>
    <t>Saisie du prix de base et du prix de consommation de chaleur</t>
  </si>
  <si>
    <t>prix de consommation de chaleur</t>
  </si>
  <si>
    <t>Prix de consommation de chaleur de la catégorie tarifaire : prix de consommation en CHF par kWh pour la quantité de chaleur vendue.</t>
  </si>
  <si>
    <t>Subvention</t>
  </si>
  <si>
    <t>Subvention unique de raccordement</t>
  </si>
  <si>
    <t>Champs de saisie dans lesquels peuvent être reprises des données issues du fichier Excel QMCB Relevé de situation.
Remarque : pour éviter de copier les formules, utilisez la fonction «Coller - Valeurs».</t>
  </si>
  <si>
    <t>Avertissements : Un court texte explicatif apparaît dans le champ Avertissements en cas de saisie de valeurs non plausibles (p. ex. déperditions du réseau = 80 % ou similaire)</t>
  </si>
  <si>
    <t>Année de base pour les investissements : utilisée comme année 0 pour les calculs de rentabilité.</t>
  </si>
  <si>
    <t>Part d’énergie auxiliaire (électricité) par rapport à la quantité de chaleur produite. Cette donnée est requise aussi bien pour la production que pour la distribution de chaleur.
Recommandation QMCB : la production de chaleur nécessite 1 - 1,5 % de la chaleur produite, la distribution de la chaleur consomme 0,5 - 1 % de la chaleur distribuée.</t>
  </si>
  <si>
    <t>Besoins en énergie primaire fossile pour la couverture des pointes : calculé d’après la part de combustible fossile (point 115g) et le taux d’utilisation annuel de la chaudière d’appoint (point 115q).</t>
  </si>
  <si>
    <t>Numéro : numérotation consécutive (possibilité de reprise du tableau Excel Relevé de situation).
Remarque : pour éviter de copier les formules, utilisez la fonction «Coller - Valeurs».</t>
  </si>
  <si>
    <t>Désignation : trois lignes pour la dénomination de l’objet ou de l’étape (possibilité de reprise du tableau Excel Relevé de situation).
Remarque : pour éviter de copier les formules, utilisez la fonction «Coller - Valeurs».</t>
  </si>
  <si>
    <t>Puissance souscrite conformément au contrat de fourniture de chaleur.
Attention : indiquer ici la puissance souscrite, nécessaire à la facturation de la taxe de base. Cette valeur peut être différente de la puissance requise calculée d’après le relevé de situation Excel!</t>
  </si>
  <si>
    <t>Année de raccordement : première année calendaire où le consommateur est approvisionné en chaleur.</t>
  </si>
  <si>
    <t>Catégorie tarifaire du prix de la chaleur pour le consommateur (champ de sélection : les niveaux tarifaires définis dans E2_Prix de la chaleur peuvent être sélectionnés).</t>
  </si>
  <si>
    <t>Coûts de raccordement : coûts de raccordement uniques versés par le consommateur à l'exploitant du réseau de chaleur. Ces coûts sont comptabilisés comme des recettes pour le réseau de chaleur l’année du raccordement (point 323).</t>
  </si>
  <si>
    <t>Coûts de base annuels pour le consommateur : calculés d’après la puissance souscrite et les coûts de base de la catégorie tarifaire sélectionné</t>
  </si>
  <si>
    <t>Coûts annuels de l'énergie pour le consommateur : calculés d’après les besoins annuels de chaleur et le prix de consommation de la catégorie tarifaire sélectionné</t>
  </si>
  <si>
    <t>Coûts annuels de base et coûts annuels de l'énergie pour le consommateur : total des points 331 + 332 (ce montant est comptabilisé comme recette annuelle pour l'exploitant du réseau de chaleur)</t>
  </si>
  <si>
    <t>Coûts annuels pour le consommateur : total des coûts de capital, de base et de l'énergie (points 300-332)</t>
  </si>
  <si>
    <t>Avertissement : si des alertes sont encore actives dans les onglets de saisie E1 et E2, une «alerte globale» est affichée dans ce champ.</t>
  </si>
  <si>
    <t>Coûts du combustible fossile : point 175e</t>
  </si>
  <si>
    <t>Frais d’entretien : point 125c</t>
  </si>
  <si>
    <t>Frais de loyer / bail / terrain : point 125g</t>
  </si>
  <si>
    <t>Augmentation du prix de vente de la chaleur : reprend la valeur moyenne pondérée des hausses de prix des points 510a-510k (la valeur peut être modifiée ; le remplacement de la valeur calculée supprime la formule enregistrée!)</t>
  </si>
  <si>
    <r>
      <t xml:space="preserve">Colonne </t>
    </r>
    <r>
      <rPr>
        <b/>
        <sz val="10"/>
        <rFont val="Arial"/>
        <family val="2"/>
      </rPr>
      <t>Augmentation des prix</t>
    </r>
    <r>
      <rPr>
        <sz val="10"/>
        <rFont val="Arial"/>
        <family val="2"/>
      </rPr>
      <t xml:space="preserve"> : par défaut, la hausse de prix générale, saisie dans l’onglet E1_Données de projet (point 125m) est utilisée.
Il est toutefois possible d’utiliser une hausse de prix annuelle distincte pour chaque poste de coûts.
Le point 510b « Biomasse » comprend également le combustible et la hausse des prix de la cogénération chaleur-force.
Au point 510w (prix de la chaleur), l’augmentation est calculée sur la base de la valeur moyenne pondérée. Cette valeur peut être modifiée si nécessaire.
</t>
    </r>
    <r>
      <rPr>
        <b/>
        <sz val="10"/>
        <rFont val="Arial"/>
        <family val="2"/>
      </rPr>
      <t xml:space="preserve">Attention </t>
    </r>
    <r>
      <rPr>
        <sz val="10"/>
        <rFont val="Arial"/>
        <family val="2"/>
      </rPr>
      <t>: le remplacement de la valeur calculée supprime la formule enregistrée!</t>
    </r>
  </si>
  <si>
    <t>Recettes supplémentaires - colonne pour la saisie libre (l’intitulé de la colonne peut être modifié).
Attention VAN : ces recettes sont répertoriées dans l’onglet «A2_Données VAN», sous le point 930. Elles doivent être transmises aux positions adéquates!</t>
  </si>
  <si>
    <t>Recettes effectives : cette colonne permet de saisir les recettes annuelles effectives pour le calcul permanent a posteriori.
Si cette colonne comporte une valeur &gt; 0, les saisies des colonnes 561-566 sont ignorées pour la suite des analyses de l’année concernée.
Attention VAN : ces recettes ne sont pas automatiquement reprises dans l’onglet «A2_Données VAN».</t>
  </si>
  <si>
    <t>Coûts des combustibles fossiles : hausse de prix incluse dans le calcul</t>
  </si>
  <si>
    <t>Frais d’entretien : voir aussi point 125c, hausse de prix incluse dans le calcul, les coûts ne sont calculés qu’à partir de la première année de fourniture de chaleur.
Remarque : dans l’outil, les frais d’entretien sont échelonnés selon la même répartition que les coûts d’investissement (voir point 150, Échelonnement du projet). En cas de différence entre les frais d’entretien effectifs et les dépenses figurant au point 574b, les pourcentages du point 142 doivent être adaptés en conséquence ou des montants correctifs doivent être saisis dans la colonne «Surcoût» (point 576).</t>
  </si>
  <si>
    <t>Autres coûts et dépenses de loyer et de bail : hausse de prix incluse dans le calcul, ces coûts s’appliquent dès la première année</t>
  </si>
  <si>
    <t>Dépenses effectives : cette colonne permet de saisir les coûts annuels effectifs pour le calcul permanent des coûts a posteriori.
Si cette colonne comporte une valeur &gt; 0, les saisies des colonnes 571a-576 sont ignorées pour la suite des analyses de l’année concernée.
Attention VAN : ces dépenses ne sont pas reprises dans l’onglet «A2_Données VAN».</t>
  </si>
  <si>
    <t>Valeur résiduelle de l’installation en tenant compte de l’amortissement
La valeur résiduelle est calculée d’après la part d’investissement proportionnelle et l’amortissement correspondant.
Remarque : les coûts des sous-stations et de la planification ne sont pas inclus.</t>
  </si>
  <si>
    <t>Solde du crédit (informatif) - Calcul net du solde du crédit, sans frais bancaires, frais de mise en place, etc.
Formatage conditionnel : si le solde du crédit n’est pas garanti par la valeur résiduelle de l’installation, ce champ apparaît sur fond rouge.</t>
  </si>
  <si>
    <t>Année d’exploitation : année de mise en service (point 110) = an 1 (informatif). L’échéance des investissements de remplacement est calculé sur cette base.</t>
  </si>
  <si>
    <r>
      <rPr>
        <b/>
        <sz val="10"/>
        <rFont val="Arial"/>
        <family val="2"/>
      </rPr>
      <t xml:space="preserve">Coûts d’investissement </t>
    </r>
    <r>
      <rPr>
        <sz val="10"/>
        <rFont val="Arial"/>
        <family val="2"/>
      </rPr>
      <t>: synthèse</t>
    </r>
  </si>
  <si>
    <r>
      <rPr>
        <b/>
        <sz val="10"/>
        <rFont val="Arial"/>
        <family val="2"/>
      </rPr>
      <t xml:space="preserve">Exploitation et entretien : </t>
    </r>
    <r>
      <rPr>
        <sz val="10"/>
        <rFont val="Arial"/>
        <family val="2"/>
      </rPr>
      <t>somme des points 574, 575 et 576
Attention : cette évaluation n’est pas adaptée si des dépenses effectives sont saisies dans le champ correspondant du point 577!</t>
    </r>
  </si>
  <si>
    <r>
      <rPr>
        <b/>
        <sz val="10"/>
        <rFont val="Arial"/>
        <family val="2"/>
      </rPr>
      <t>Total des dépenses</t>
    </r>
    <r>
      <rPr>
        <sz val="10"/>
        <rFont val="Arial"/>
        <family val="2"/>
      </rPr>
      <t xml:space="preserve"> : somme des points 621 à 623
Attention : cette évaluation n’est pas adaptée si des dépenses effectives sont saisies dans le champ correspondant du point 577!</t>
    </r>
  </si>
  <si>
    <r>
      <rPr>
        <b/>
        <sz val="10"/>
        <rFont val="Arial"/>
        <family val="2"/>
      </rPr>
      <t xml:space="preserve">Total des recettes </t>
    </r>
    <r>
      <rPr>
        <sz val="10"/>
        <rFont val="Arial"/>
        <family val="2"/>
      </rPr>
      <t>: somme des points 625 et 626
Attention : cette évaluation n’est pas adaptée si des dépenses effectives sont saisies dans le champ correspondant du point 567!</t>
    </r>
  </si>
  <si>
    <r>
      <rPr>
        <b/>
        <sz val="10"/>
        <rFont val="Arial"/>
        <family val="2"/>
      </rPr>
      <t xml:space="preserve">Remarques </t>
    </r>
    <r>
      <rPr>
        <sz val="10"/>
        <rFont val="Arial"/>
        <family val="2"/>
      </rPr>
      <t>: champ permettant la saisie de remarques et de commentaires.</t>
    </r>
  </si>
  <si>
    <r>
      <rPr>
        <b/>
        <sz val="10"/>
        <rFont val="Arial"/>
        <family val="2"/>
      </rPr>
      <t>Onglet «Données VAN»</t>
    </r>
    <r>
      <rPr>
        <sz val="10"/>
        <rFont val="Arial"/>
        <family val="2"/>
      </rPr>
      <t xml:space="preserve">
Modèle d’exportation pour calculateur de VAN : cet onglet réunit les données issues de l’outil, requises pour le calcul de la VAN. La présentation est adaptée à KliK, l’«outil de justification de l’additionnalité de projets de chaleur à distance» (version 3.2 du 10 février 2016).
Les informations destinées à l’outil KliK qui ne peuvent pas être reprises du présent fichier ne sont pas contenues dans l’exportation.
Les modifications dans l’outil ou dans d’autres vues ne sont pas automatiquement adaptées par l’outil de calcul de rentabilité QMCB.</t>
    </r>
  </si>
  <si>
    <r>
      <rPr>
        <b/>
        <sz val="10"/>
        <rFont val="Arial"/>
        <family val="2"/>
      </rPr>
      <t>Clients clés</t>
    </r>
    <r>
      <rPr>
        <sz val="10"/>
        <rFont val="Arial"/>
        <family val="2"/>
      </rPr>
      <t xml:space="preserve"> : Les données des colonnes «Désignation», «Puissance» et «Besoins annuels en chaleur» sont reprises de l’onglet «E3_Consommateurs». La colonne «Type de bâtiment &amp; caractéristiques de consommation» nécessite encore un suivi manuel.
Attention : l’outil KliK ne propose que 15 consommateurs. Les 15 premiers consommateurs sont donc repris. Si les consommateurs sont plus nombreux, il convient de les regrouper pour couvrir l’ensemble de la consommation.</t>
    </r>
  </si>
  <si>
    <r>
      <rPr>
        <b/>
        <sz val="10"/>
        <rFont val="Arial"/>
        <family val="2"/>
      </rPr>
      <t>Clients clés</t>
    </r>
    <r>
      <rPr>
        <sz val="10"/>
        <rFont val="Arial"/>
        <family val="2"/>
      </rPr>
      <t xml:space="preserve"> : Les données de la colonne «Année de raccordement» sont reprises de l’onglet «E3_Consommateurs». La colonne «Puissance en extension finale» reprend les valeurs de la colonne «Puissance» du point 911. Les valeurs peuvent être modifiées.
Attention : toute frappe dans cette cellule supprime la formule.</t>
    </r>
  </si>
  <si>
    <r>
      <rPr>
        <b/>
        <sz val="10"/>
        <rFont val="Arial"/>
        <family val="2"/>
      </rPr>
      <t>Réseau de chaleur à distance (40 ans)</t>
    </r>
    <r>
      <rPr>
        <sz val="10"/>
        <rFont val="Arial"/>
        <family val="2"/>
      </rPr>
      <t xml:space="preserve"> : Les coûts d’investissement pour le réseau de chaleur sont repris de l’onglet «B1_Calculs». La répartition des coûts annuels Réseau de chaleur à distance / Centrale de chauffe est effectuée proportionnellement au coût d’investissement total.
Attention : Les dépenses de la colonne «Autres charges» (point 651) ne sont pas automatiquement reprises dans l’onglet «A2_Données VAN». Elles doivent être transmises manuellement aux positions adéquates!</t>
    </r>
  </si>
  <si>
    <r>
      <rPr>
        <b/>
        <sz val="10"/>
        <rFont val="Arial"/>
        <family val="2"/>
      </rPr>
      <t>Centrale de chauffe ou système de chaleur décentralisé (15 ans)</t>
    </r>
    <r>
      <rPr>
        <sz val="10"/>
        <rFont val="Arial"/>
        <family val="2"/>
      </rPr>
      <t xml:space="preserve"> : Les coûts d’investissement pour la centrale de chauffe sont repris de l’onglet «B1_Calculs». La répartition des coûts annuels Réseau de chaleur à distance / Centrale de chauffe est effectuée proportionnellement au coût d’investissement total.
Attention : Les dépenses de la colonne «Autres charges» (point 651) ne sont pas automatiquement reprises dans l’onglet «A2_Données VAN». Elles doivent être transmises manuellement aux positions adéquates!</t>
    </r>
  </si>
  <si>
    <r>
      <rPr>
        <b/>
        <sz val="10"/>
        <rFont val="Arial"/>
        <family val="2"/>
      </rPr>
      <t>Exploitation et entretien</t>
    </r>
    <r>
      <rPr>
        <sz val="10"/>
        <rFont val="Arial"/>
        <family val="2"/>
      </rPr>
      <t xml:space="preserve"> : Les coûts annuels d’exploitation et d’entretien sont repris de l’onglet «B1_Calculs» (points 557, 558 et 559).
Attention : Les dépenses de la colonne «Autres charges» (point 651) ne sont pas automatiquement reprises dans l’onglet «A2_Données VAN». Elles doivent être transmises manuellement aux positions adéquates!</t>
    </r>
  </si>
  <si>
    <r>
      <rPr>
        <b/>
        <sz val="10"/>
        <rFont val="Arial"/>
        <family val="2"/>
      </rPr>
      <t>Coûts de l'énergie</t>
    </r>
    <r>
      <rPr>
        <sz val="10"/>
        <rFont val="Arial"/>
        <family val="2"/>
      </rPr>
      <t xml:space="preserve"> : Les coûts de l'énergie sont repris de l’onglet «B1_Calculs» (points 554, 555 et 556).
Attention : Les dépenses de la colonne «Autres charges» (point 651) ne sont pas automatiquement reprises dans l’onglet «A2_Données VAN». Elles doivent être transmises manuellement aux positions adéquates!</t>
    </r>
  </si>
  <si>
    <r>
      <rPr>
        <b/>
        <sz val="10"/>
        <rFont val="Arial"/>
        <family val="2"/>
      </rPr>
      <t>Contributions de raccordement / recettes uniques</t>
    </r>
    <r>
      <rPr>
        <sz val="10"/>
        <rFont val="Arial"/>
        <family val="2"/>
      </rPr>
      <t xml:space="preserve"> : Les contributions de raccordement sont reprises de l’onglet «B1_Calculs» (point 572).
Attention : Les dépenses de la colonne «Autres charges» (point 651) ne sont pas automatiquement reprises dans l’onglet «A2_Données VAN». Elles doivent être transmises manuellement aux positions adéquates!</t>
    </r>
  </si>
  <si>
    <r>
      <rPr>
        <b/>
        <sz val="10"/>
        <rFont val="Arial"/>
        <family val="2"/>
      </rPr>
      <t>Ventes de chaleur / recettes récurrentes</t>
    </r>
    <r>
      <rPr>
        <sz val="10"/>
        <rFont val="Arial"/>
        <family val="2"/>
      </rPr>
      <t xml:space="preserve"> : Les recettes issues de la vente de chaleur sont reprises de l’onglet «B1_Calculs» (point 571).
Attention : Les dépenses de la colonne «Autres charges» (point 651) ne sont pas automatiquement reprises dans l’onglet «A2_Données VAN». Elles doivent être transmises manuellement aux positions adéquates!</t>
    </r>
  </si>
  <si>
    <r>
      <rPr>
        <b/>
        <sz val="10"/>
        <rFont val="Arial"/>
        <family val="2"/>
      </rPr>
      <t>Subventions de tiers (canton, Confédération, commune)</t>
    </r>
    <r>
      <rPr>
        <sz val="10"/>
        <rFont val="Arial"/>
        <family val="2"/>
      </rPr>
      <t xml:space="preserve"> : Les versements de subventions uniques sont repris de l’onglet «E1_Données de projet» (points 172 et 174) et reportés sur l’année de versement correspondante (points 173 et 175).
Remarque : les subventions pluriannuelles (hors montants KliK) doivent être reportées manuellement!</t>
    </r>
  </si>
  <si>
    <r>
      <t xml:space="preserve">Synthèse des </t>
    </r>
    <r>
      <rPr>
        <b/>
        <sz val="10"/>
        <rFont val="Arial"/>
        <family val="2"/>
      </rPr>
      <t>coûts d’exploitation</t>
    </r>
    <r>
      <rPr>
        <sz val="10"/>
        <rFont val="Arial"/>
        <family val="2"/>
      </rPr>
      <t xml:space="preserve"> : les valeurs affichées correspondent aux coûts totaux théoriques en cas d’extension complète (raccordements à 100 %) la première année d’exploitation.</t>
    </r>
  </si>
  <si>
    <t xml:space="preserve"> (100% des racc.; Année 1)</t>
  </si>
  <si>
    <t>Coûts de l'énergie du combustible biomasse</t>
  </si>
  <si>
    <t>du producteur suppl. de chaleur</t>
  </si>
  <si>
    <t>de la récupération de chaleur résiduelle</t>
  </si>
  <si>
    <t>du combustible fossile</t>
  </si>
  <si>
    <t>Coûts d'électricité à partir du réseau électrique (pour énergies auxiliaires et pour la pompe à chaleur (PAC)) : somme des points 175f + 175g</t>
  </si>
  <si>
    <t>de l'électricité (énergie auxiliaire + PAC)</t>
  </si>
  <si>
    <t>Autres coûts (assurances, etc.)</t>
  </si>
  <si>
    <t>Autres coûts (assurance, etc.) : point 125h</t>
  </si>
  <si>
    <t>Recettes de la vente d'électricité</t>
  </si>
  <si>
    <t>Recettes de la vente de charbon végétal</t>
  </si>
  <si>
    <t>Montant total des investissements</t>
  </si>
  <si>
    <t>Coûts des composants pour l’installation spécifiques au bois (chaudière complète à plaquettes de bois )</t>
  </si>
  <si>
    <t>Coûts d’investissement pour l'installation de cogénération chaleur-force (CCF)</t>
  </si>
  <si>
    <t>Coûts d’investissement pour le producteur supplémentaire de chaleur (non fossile)</t>
  </si>
  <si>
    <t>Coûts d’investissement pour la récupération de chaleur résiduelle</t>
  </si>
  <si>
    <t>Coûts d’investissement pour les composants de l’installation spécifiques à la charge de pointe (chaudière à combustible fossile)</t>
  </si>
  <si>
    <t>Coûts d’investissement pour les installations de chauffage, ventilation, climatisation, sanitaire et électriques (CVCSE)</t>
  </si>
  <si>
    <t>Coûts d’investissement pour le réseau de chaleur, y compris génie civil</t>
  </si>
  <si>
    <t>Total des subventions</t>
  </si>
  <si>
    <t>Total des capitaux propres</t>
  </si>
  <si>
    <t>Total des capitaux étrangers</t>
  </si>
  <si>
    <t>Subventions
uniques</t>
  </si>
  <si>
    <t>Coûts d'investissement nets</t>
  </si>
  <si>
    <r>
      <rPr>
        <b/>
        <sz val="10"/>
        <rFont val="Arial"/>
        <family val="2"/>
      </rPr>
      <t>Coûts d'investissement de l'installation</t>
    </r>
    <r>
      <rPr>
        <sz val="10"/>
        <rFont val="Arial"/>
        <family val="2"/>
      </rPr>
      <t xml:space="preserve"> : l'investissement initial est comptabilisé dans cette colonne sous forme de pourcentage (point 150) au cours de la première année. Les investissements ultérieurs sont comptabilisés proportionnellement dans les années correspondantes.
Les investissements de remplacement sont réinvestis à l'expiration de la durée d'utilisation (point 143), en tenant compte du renchérissement général (point 125m).</t>
    </r>
  </si>
  <si>
    <t>Coûts d'investissement de l'installation</t>
  </si>
  <si>
    <t>Financement</t>
  </si>
  <si>
    <t xml:space="preserve">Fonds propres </t>
  </si>
  <si>
    <t>Crédits / Prêts</t>
  </si>
  <si>
    <t>Déficit de financement</t>
  </si>
  <si>
    <t>Recettes liées à la vente de chaleur : prix de base (CHF/kW) et prix de la chaleur (CHF/kWh)</t>
  </si>
  <si>
    <t>Recettes liée à la vente d'électricité, y compris GO (garanties d'origine)</t>
  </si>
  <si>
    <t>Recettes liée à la vente de charbon végétal</t>
  </si>
  <si>
    <t>Vente d'électricité</t>
  </si>
  <si>
    <t>Vente de charbon végétal</t>
  </si>
  <si>
    <t>Vente de chaleur
(y compris prix annuel de base)</t>
  </si>
  <si>
    <t>Subventions
pluriannuelles</t>
  </si>
  <si>
    <t>Coûts du combustible biomasse pour la cogénération chaleur-force (CCF) : hausse de prix incluse dans le calcul</t>
  </si>
  <si>
    <t>Biomasse pour CCF</t>
  </si>
  <si>
    <t>Biomasse pour chaudières à  bois</t>
  </si>
  <si>
    <t>Coûts du combustible biomasse (plaquettes de bois) pour la(les) chaudière(s) à bois : hausse de prix incluse dans le calcul</t>
  </si>
  <si>
    <t>Énergie du producteur supplémentaire de chaleur</t>
  </si>
  <si>
    <t>Énergie de la récupération de chaleur résiduelle</t>
  </si>
  <si>
    <t>Électricité  (pour la PAC)</t>
  </si>
  <si>
    <t>Exploitation + administration</t>
  </si>
  <si>
    <t>Coûts d'exploitation et d'entretien</t>
  </si>
  <si>
    <t>Coûts des intérêts des crédits et des prêts
Le premier paiement d’intérêts est dû l’année de versement des fonds</t>
  </si>
  <si>
    <t>Intérêts crédits / Prêts</t>
  </si>
  <si>
    <t>Total des charges avant amor-tissements</t>
  </si>
  <si>
    <r>
      <rPr>
        <b/>
        <sz val="10"/>
        <rFont val="Arial"/>
        <family val="2"/>
      </rPr>
      <t>Amortissement des crédits</t>
    </r>
    <r>
      <rPr>
        <sz val="10"/>
        <rFont val="Arial"/>
        <family val="2"/>
      </rPr>
      <t xml:space="preserve"> À partir de l'année du remboursement du crédit (début de l'amortissement, point 160d), le crédit (point 160a) est amorti de manière linéaire jusqu'à l'échéance (point 160b).</t>
    </r>
  </si>
  <si>
    <t>Amortisse-ment des crédits</t>
  </si>
  <si>
    <t>Total des charges, y compris amortissement des crédits</t>
  </si>
  <si>
    <t>Amortisse-ment</t>
  </si>
  <si>
    <t>Total des charges, y compris amortissement</t>
  </si>
  <si>
    <t>Bénéfice net /
Perte nette</t>
  </si>
  <si>
    <t>Bénéfice / Perte cumulé(e)</t>
  </si>
  <si>
    <t>Valeur résiduelle</t>
  </si>
  <si>
    <t xml:space="preserve">110c: La diminution des besoins en chaleur des consommateurs de chaleur est négative ; surconsommation. </t>
  </si>
  <si>
    <t>115a: La part de la chaleur annuelle produite à partir de la chaudière à plaquettes de bois surpasse 100%</t>
  </si>
  <si>
    <t>115b: La part de la chaleur annuelle produite à partir de la condensation des gaz de fumées de la chaudière à plaquettes est très élevée</t>
  </si>
  <si>
    <t>115c: La part de la chaleur annuelle produite à partir de la CCF surpasse 100%</t>
  </si>
  <si>
    <t>115d: La part de la chaleur annuelle produite à partir de la PAC surpasse 100%</t>
  </si>
  <si>
    <t>115e: La part de la chaleur annuelle produite à partir du producteur supplémentaire de chaleur surpasse 100%</t>
  </si>
  <si>
    <t>Valeurs par défaut</t>
  </si>
  <si>
    <t>Valeur par défaut de la valeur standard</t>
  </si>
  <si>
    <t>115f: La part de la chaleur annuelle produite à partir de la récupération de chaleur résiduelle surpasse 100%</t>
  </si>
  <si>
    <r>
      <t xml:space="preserve">Part de la consommation électrique de la pompe à chaleur (PAC) couverte par la </t>
    </r>
    <r>
      <rPr>
        <b/>
        <sz val="10"/>
        <rFont val="Arial"/>
        <family val="2"/>
      </rPr>
      <t>production électrique de la cogénération chaleur-force (CCF)</t>
    </r>
    <r>
      <rPr>
        <sz val="10"/>
        <rFont val="Arial"/>
        <family val="2"/>
      </rPr>
      <t>.
Il convient d'indiquer la part de la consommation électrique de la pompe à chaleur et non la part de la production de la cogénération chaleur-force.</t>
    </r>
  </si>
  <si>
    <t>115w: Part de la consommation électrique annuelle pour éergies auxiliaires, couverte par la cogénération chaleur-force (CCF), est négative</t>
  </si>
  <si>
    <t>115w: Part de la consommation électrique annuelle pour éergies auxiliaires, couverte par la cogénération chaleur-force (CCF), surpasse 100%</t>
  </si>
  <si>
    <t xml:space="preserve">115x: La production annuelle de charbon végétale est négative </t>
  </si>
  <si>
    <t>115x: La production annuelle de charbon végétale est élevée</t>
  </si>
  <si>
    <t>120a: Le prix d’achat des plaquettes de bois est négative</t>
  </si>
  <si>
    <t xml:space="preserve">120e: Le prix d’achat du combustible fossile est inférieur au prix d'achat des plaquettes de bois </t>
  </si>
  <si>
    <t>115a: La part de la chaleur annuelle produite à partir de la chaudière à plaquettes de bois est supposé faible</t>
  </si>
  <si>
    <t>115b: La part de la chaleur annuelle produite à partir de la condensation des gaz de fumées de la chaudière à plaquettes est supposé faible</t>
  </si>
  <si>
    <t>115c: La part de la chaleur annuelle produite à partir de la CCF est supposé faible</t>
  </si>
  <si>
    <t>115d: La part de la chaleur annuelle produite à partir de la PAC est supposé faible</t>
  </si>
  <si>
    <t>115e: La part de la chaleur annuelle produite à partir du producteur supplémentaire de chaleur est supposé faible</t>
  </si>
  <si>
    <t>115f: La part de la chaleur annuelle produite à partir de la récupération de chaleur résiduelle est supposé faible</t>
  </si>
  <si>
    <t xml:space="preserve">115l: Le rendement thermique annuel de la cogénération chaleur-force (CCF) est supposé très faible </t>
  </si>
  <si>
    <t xml:space="preserve">115l: Le rendement thermique annuel de la cogénération chaleur-force (CCF) est supposé très élevé  </t>
  </si>
  <si>
    <t xml:space="preserve">115m: Le rendement électrique annuel de la cogénération chaleur-force (CCF) est supposé très faible </t>
  </si>
  <si>
    <t xml:space="preserve">115m: Le rendement électrique annuel de la cogénération chaleur-force (CCF) est supposé très élevé </t>
  </si>
  <si>
    <t>115n: Le rendement thermique annuel du producteur supplémentaire de chaleur est supposé très faible</t>
  </si>
  <si>
    <t>115n: Le rendement thermique annuel du producteur supplémentaire de chaleur est supposé très élevé</t>
  </si>
  <si>
    <t xml:space="preserve">115o: Le coéfficient de performance annuel (COPA) de la pompe à chaleur (PAC) est supposé très faible </t>
  </si>
  <si>
    <t xml:space="preserve">115o: Le coéfficient de performance annuel (COPA) de la pompe à chaleur (PAC) est supposé très élevé </t>
  </si>
  <si>
    <t>115u: La part de la consommation électrique annuelle de la pompe à chaleur (PAC), couverte par la cogénération chaleur-force (CCF), est négative</t>
  </si>
  <si>
    <t>115u: La part de la consommation électrique annuelle de la pompe à chaleur (PAC), couverte par la cogénération chaleur-force (CCF), surpasse 100%</t>
  </si>
  <si>
    <t>120a: Le prix d’achat des plaquettes de bois est supposé très élevé</t>
  </si>
  <si>
    <t>120c: Le prix d’achat des plaquettes de bois pour la cogénération (CCF) est supposé très faible</t>
  </si>
  <si>
    <t>120c: Le prix d’achat des plaquettes de bois pour la cogénération (CCF) est supposé très élevé</t>
  </si>
  <si>
    <t>120d: Le prix d’achat du combustible utilisé pour le producteur supplémentaire de chaleur est supposé très faible</t>
  </si>
  <si>
    <t>120d: Le prix d’achat du combustible utilisé pour le producteur supplémentaire de chaleur est supposé très élevé</t>
  </si>
  <si>
    <t>120e: Le prix d’achat du combustible fossile est supposé très élevé</t>
  </si>
  <si>
    <t>120f: Le prix de l'électricité est supposé très faible.</t>
  </si>
  <si>
    <t>Prix de l'électricité de la pompe à chaleur (PAC) en CHF/kWhel (y compris la part des frais de raccordement, etc.) 
La valeur par défaut correspond au prix général de l'électricité, point 120f.</t>
  </si>
  <si>
    <t>120g: Le prix d'achat de l'électricité de la PAC est supposé très faible</t>
  </si>
  <si>
    <t>12=g: Le prix d'achat de l'électricité de la PAC est supposé très élevé</t>
  </si>
  <si>
    <t>120g: Le prix d'achat de l'électricité de la PAC est supérieur au prix d'achat de l'électricité en générale</t>
  </si>
  <si>
    <t>125b: Les coûts annuelsd'exploitation externes sont très faibles.</t>
  </si>
  <si>
    <t xml:space="preserve">125b: Les coûts annuelsd'exploitation externes sont très élevés. </t>
  </si>
  <si>
    <t xml:space="preserve">125c: Les frais annuels d'entretien sont très faibles. </t>
  </si>
  <si>
    <t>125c: Les frais annuels d'entretien sont très élevés.</t>
  </si>
  <si>
    <t xml:space="preserve">145a: Les investissements pour la construction de la centrale de chauffage sont très faibles. </t>
  </si>
  <si>
    <t xml:space="preserve">145a: Les investissements pour la construction de la centrale de chauffage sont très élevés. </t>
  </si>
  <si>
    <t xml:space="preserve">145b: Les investissements pour les éléments de l'installation spécifiques au bois sont très faibles. </t>
  </si>
  <si>
    <t xml:space="preserve">145b: Les investissements pour les éléments de l'installation spécifiques au bois sont très élevés. </t>
  </si>
  <si>
    <t>145c: Les investissements pour la cogénération chaleur-force (CCF) sont très faibles.</t>
  </si>
  <si>
    <t>145c: Les investissements pour la cogénération chaleur-force (CCF) sont très élevés</t>
  </si>
  <si>
    <t>Coûts d’investissement pour l'installation de pompes à chaleur (PAC)</t>
  </si>
  <si>
    <t>145d: Les investissements pour la pompe à chaleur (PAC) sont très faibles</t>
  </si>
  <si>
    <t xml:space="preserve">145d: Les investissements pour la pompe à chaleur (PAC) sont très élevés. </t>
  </si>
  <si>
    <t>145e: Les investissements pour les sondes géothermiques ou l'utilisation des eaux souterraines sont très faibles</t>
  </si>
  <si>
    <t xml:space="preserve">145e: Les investissements pour les sondes géothermiques ou l'utilisation des eaux souterraines sont très élevés </t>
  </si>
  <si>
    <t>145f: Les investissements pour le producteur supplémentaire de chaleur sont très faibles</t>
  </si>
  <si>
    <t>145f: Les investissements pour le producteur supplémentaire de chaleur sont très faiélevés</t>
  </si>
  <si>
    <t>145g: Les investissements pour la récupération de chaleur résiduelle sont très faibles</t>
  </si>
  <si>
    <t>145g: Les investissements pour la récupération de chaleur résiduelle sont très élevés</t>
  </si>
  <si>
    <t xml:space="preserve">145h: Les investissements pour les éléments de l'installation spécifiques à la charge de pointe sont très faibles. </t>
  </si>
  <si>
    <t xml:space="preserve">145h: Les investissements pour les éléments de l'installation spécifiques à la charge de pointe sont très élevés. </t>
  </si>
  <si>
    <t xml:space="preserve">145i: Les investissements pour les installations de la centrale sont très faibles. </t>
  </si>
  <si>
    <t>145i: Les investissements pour les installations de la centrale sont très élevés.</t>
  </si>
  <si>
    <t xml:space="preserve">145j: Les investissements pour la construction du réseau de chaleur sont très faibles. </t>
  </si>
  <si>
    <t xml:space="preserve">145j:  Les investissements pour la construction du réseau de chaleur sont très élevés. </t>
  </si>
  <si>
    <t xml:space="preserve">145k: Les investissements pour comptage de la chaleur sont très faibles. </t>
  </si>
  <si>
    <t xml:space="preserve">145k: Les investissements pour de la chaleur sont très élevés. </t>
  </si>
  <si>
    <t xml:space="preserve">145l: Les investissements liés aux stations de transfert de chaleur sont très faibles. </t>
  </si>
  <si>
    <t xml:space="preserve">145l: Les investissements liés aux stations de transfert de chaleur sont très élevés. </t>
  </si>
  <si>
    <t>Total des investissements calculé pour le projet et la durée moyenne d’amortissement</t>
  </si>
  <si>
    <t>155: Les capitaux propres sont estimés très faibles</t>
  </si>
  <si>
    <t>155: Les capitaux propres sont estimés élevés</t>
  </si>
  <si>
    <t>160a: La part du crédit est négative.</t>
  </si>
  <si>
    <t>160d: Le début de l'amortissement est antérieur au versement du crédit.</t>
  </si>
  <si>
    <t>160d: Le crédit est amorti très tardivement.</t>
  </si>
  <si>
    <t>Installations de production de chaleur et équipements : somme calculée à partir des points 145a à 145i.</t>
  </si>
  <si>
    <t>Coûts de construction pour la centrale de chauffe, du stockage du combustible et environs</t>
  </si>
  <si>
    <t>Construction Bâtiments, Environs</t>
  </si>
  <si>
    <t>Production de chaleur et Équipements</t>
  </si>
  <si>
    <t>Sous-stations de transfert de chaleur, comptage</t>
  </si>
  <si>
    <t>Sous-stations de transfert de chaleur, y compris mesures thermiques (compteurs de chaleur) : somme calculée à partir des points 145k et 145l.</t>
  </si>
  <si>
    <t>Total des contributions de raccordement</t>
  </si>
  <si>
    <t>Intérêts</t>
  </si>
  <si>
    <t>Subventions ann. et autres</t>
  </si>
  <si>
    <t>Chaleur, électr. et charbon vég.</t>
  </si>
  <si>
    <t>Bénéfice net / Perte nette cumulé(e)</t>
  </si>
  <si>
    <t>Bénéfice net / Perte nette</t>
  </si>
  <si>
    <t>Impôts</t>
  </si>
  <si>
    <t>Autres charges financières</t>
  </si>
  <si>
    <t>Intérêts des crédits</t>
  </si>
  <si>
    <t>Exploit. + Admin.</t>
  </si>
  <si>
    <t>Exploit./Entretien</t>
  </si>
  <si>
    <t>Autres + Loyer / Bail</t>
  </si>
  <si>
    <t>Dépenses additionnelles</t>
  </si>
  <si>
    <t>Résultat brut</t>
  </si>
  <si>
    <t>Chaleur, y.c. prix de base</t>
  </si>
  <si>
    <t>Charbon végétal</t>
  </si>
  <si>
    <t>Subvention pluriann.
jährlich</t>
  </si>
  <si>
    <t>Recettes supplém.</t>
  </si>
  <si>
    <t>Plaquettes de bois</t>
  </si>
  <si>
    <t>Combustible CCF</t>
  </si>
  <si>
    <t>Prod. Ssuppl. se chaleur</t>
  </si>
  <si>
    <t>Récup. de chaleur résid.</t>
  </si>
  <si>
    <t>Comb. Fossil</t>
  </si>
  <si>
    <t>Électr. pour PAC</t>
  </si>
  <si>
    <t>Électr. (auxiliaire)</t>
  </si>
  <si>
    <t>Quantité de chaleur utile produite par la pompe à chaleur (PAC) : calculée selon point 115d</t>
  </si>
  <si>
    <t>Consommation propre de la production d'électricité issue de la cogénération chaleur-force (CCF) pour la pompe à chaleur (PAC) et l'énergie auxiliaire, calculée à partir des points 115d, o, u, v, w ; 170a, i, j.</t>
  </si>
  <si>
    <t>Consommation annuelle de la pompe à chaleur (PAC) à partir du réseau électrique, calculée à partir de 115d, u, 170 a, j</t>
  </si>
  <si>
    <t>Coûts annuels d'électricité pour la pompe à chaleur (PAC) (à partir du réseau électrique), calculés à partir du point 170k, 120g</t>
  </si>
  <si>
    <t>Coûts d'électricité pour la pompe à chaleur (PAC) : hausse de prix incluse dans le calcul</t>
  </si>
  <si>
    <t>Part de la cons. électr. de la PAC couverte par la cogénération (CCF)</t>
  </si>
  <si>
    <t>Rendement annuel, soit le coefficient de performance annuel (COPA) de la pompe à chaleur (PAC).</t>
  </si>
  <si>
    <t>Électricité (pour l'énergie auxiliaire)</t>
  </si>
  <si>
    <t>Part de la consommation électrique de l'énergie auxiliaire qui est couverte par la production d'électricité de la cogénération chaleur-force (CCF). Il convient d'indiquer la part des besoins en électricité et non la part de la production.</t>
  </si>
  <si>
    <t>Part de la cons. électr. de l'énergie auxiliaire couverte par la cogénération (CCF)</t>
  </si>
  <si>
    <t>Compteurs de chaleur et de régulation des stations de transfert de chaleur</t>
  </si>
  <si>
    <r>
      <rPr>
        <b/>
        <sz val="10"/>
        <rFont val="Arial"/>
        <family val="2"/>
      </rPr>
      <t>Intérêts</t>
    </r>
    <r>
      <rPr>
        <sz val="10"/>
        <rFont val="Arial"/>
        <family val="2"/>
      </rPr>
      <t xml:space="preserve"> sur les capitaux étrangers : transfer du point 578</t>
    </r>
  </si>
  <si>
    <r>
      <rPr>
        <b/>
        <sz val="10"/>
        <rFont val="Arial"/>
        <family val="2"/>
      </rPr>
      <t xml:space="preserve">Valeurs calculées
</t>
    </r>
    <r>
      <rPr>
        <sz val="10"/>
        <rFont val="Arial"/>
        <family val="2"/>
      </rPr>
      <t>Valeurs numériques pouvant être calculées à partir des informations saisies ci-dessus et servant au contrôle de la saisie et à la représentation du calcul des quantités d’énergie.</t>
    </r>
  </si>
  <si>
    <t>dépenses additionnelles ou corrections de dépenses calculées (différences) peuvent être saisies dans cette colonne. Pour un maximum de clarté, l’en-tête de cette colonne peut être modifié.
Remarque : ces dépenses ne sont pas comptabilisées comme une plus-value dans la valeur de l’installation.
Attention VAN : ces dépenses sont répertoriées dans l’onglet «A2_Données VAN», sous le point 930. Elles doivent être transmises aux positions adéquates!</t>
  </si>
  <si>
    <t>CHF/t</t>
  </si>
  <si>
    <t>t/an</t>
  </si>
  <si>
    <t>120j: Le prix d’achat de la récupération de chaleur résiduelle est supposé très faible</t>
  </si>
  <si>
    <t>120j: Le prix d’achat de la récupération de chaleur résiduelle est supposé très élevé</t>
  </si>
  <si>
    <t>120m: Le tarif de rétribution/rachat d'électricité est supposé très faible</t>
  </si>
  <si>
    <t>120m: Le tarif de rétribution/rachat d'électricité est supposé très élevé</t>
  </si>
  <si>
    <t>120m: Aucun tarif de rétribution/rachat d'électricité n'a été saisi</t>
  </si>
  <si>
    <t>120n: Le prix de vente du charbon végétal est supposé très faible</t>
  </si>
  <si>
    <t>120n: Le prix de vente du charbon végétal est supposé très élevé</t>
  </si>
  <si>
    <t>120n: Aucun prix de vente du charbon végétal n'a été saisi</t>
  </si>
  <si>
    <t>110a: La consommation de chaleur est très grande.</t>
  </si>
  <si>
    <t>120e: Le prix d’achat du combustible fossile est supposé très faible</t>
  </si>
  <si>
    <t xml:space="preserve">120f: Le prix de l'électricité est supposé très élevé. </t>
  </si>
  <si>
    <t>125g: Les frais annuels de propriété sont très faibles.</t>
  </si>
  <si>
    <t xml:space="preserve">125h: Les autres frais ont été supposés nuls. </t>
  </si>
  <si>
    <t>125m: L'augmentation générale des prix est très faible</t>
  </si>
  <si>
    <t xml:space="preserve">125m: L'augmentation générale des prix est très élevée. </t>
  </si>
  <si>
    <t>115q: Le rendement thermique annuel de la (des) chaduière(s) fossil est supposé très faible</t>
  </si>
  <si>
    <t>115q: Le rendement thermique annuel de la (des) chaduière(s) fossil est supposé très élevé</t>
  </si>
  <si>
    <t>Cash-flow cumulé (Comparaison)</t>
  </si>
  <si>
    <t>Indications concernant les consommateurs
Ce tableau permet de saisir les données correspondant à chaque client de chaleur. Les informations correspondant à celles du relevé de situation Excel de QM Chauffages au bois (points 311 - 314) peuvent être reprises de celui-ci. Pour ce faire, copier les lignes concernées et les coller dans les cellules correspondantes du modèle de rentabilité avec «Coller les valeurs».
Remarque : pour simplifier la saisie des données, il est également possible de saisir les valeurs cumulées des phases d’extension annuelles.</t>
  </si>
  <si>
    <t>Coûts d’exploitation : point 125b</t>
  </si>
  <si>
    <t xml:space="preserve">Frais de personnel </t>
  </si>
  <si>
    <t>Taux d'utilisation de la centrale thermique ou du réseau de chaleur par rapport à la consommation moyenne de chaleur (point 170a)</t>
  </si>
  <si>
    <t>Quantité maximale de chaleur vendue en MWh/an, somme de la consommation de chaleur (point 320) de tous les clients dans l'onglet « E3_Consommateurs »</t>
  </si>
  <si>
    <t>Diminution annuelle des besoins en chaleur. Diminution annuelle moyenne des besoins en chaleur par des mesures d’efficacité (p.ex. Amélioration de l’enveloppe des bâtiments, de l’isolation) des consommateurs de chaleur depuis la mise en service. Cette valeur est prise en compte dans les besoins totaux en chaleur (point 532 dans l'onglet «B1_Calculs»).</t>
  </si>
  <si>
    <t>Rendement thermique annuel de la chaudière d’appoint à combustible fossile.
Si une chaudière au gaz est intégrée pour couvrir les pointes de charge et que le prix en MWh relative au pouvoir calorifique supérieur (pcs) est indiqué sous le point 124, il faut également tenir compte d'un facteur 0.9 pour la la conversion de pcs en pci.</t>
  </si>
  <si>
    <t>Rendement annuel de la chaudière à combustible fossile</t>
  </si>
  <si>
    <t>Prix du combustible de la cogénération chaleur-force (CCF)</t>
  </si>
  <si>
    <t>Prix du combustible utilisé pour l'installation de cogénération chaleur-force (CCF) en CHF/MWh (énergie finale)</t>
  </si>
  <si>
    <t>Répartition des investissements sur max. cinq étapes en % de l’investissement total (point 145z).
Remarque : les frais d’entretien (point 142) sont échelonnés selon la même répartition. En cas de différence entre les frais d’entretien effectifs et les dépenses figurant au point 574b dans l'onglet «B1_Calculs», les pourcentages du point 142 doivent être adaptés en conséquence.</t>
  </si>
  <si>
    <t>Chaleur cons. dans l'année du racc. [%]</t>
  </si>
  <si>
    <t>Chaleur consommée dans l'année du raccordement [%] : part des besoins totaux en chaleur (point 320) requise dans l’année du raccordement (point 323).
Exemple : si le raccordement intervient en début de période de chauffage, les besoin en chaleur de l’année de raccordement atteint env. 40 %. Le calcul est donc basé sur les besoins en chaleur de 40 % dans  l’année du raccordement et de 100 % dans l’année suivante.</t>
  </si>
  <si>
    <t>Frais de personnel : point 125a</t>
  </si>
  <si>
    <t>Coûts d’investissement pour la construction de sondes géothermiques ou d'un système d'utilisation des eaux souterraines (bedingt auch Nutzung von Oberflächengewässer und Geothermie)</t>
  </si>
  <si>
    <t>Composants de la chaufferie</t>
  </si>
  <si>
    <r>
      <t xml:space="preserve">Généralités au sujet de cet outil :
Exclusion de responsabilité
Malgré tout le soin apporté à l’élaboration de cet outil Excel, ses concepteurs ne peuvent donner aucune garantie concernant les résultats obtenus et les conclusions qui en sont tirées. Les simplifications et le mode de calcul retenus peuvent entraîner certaines «erreurs». L’outil ne distingue p. ex. pas si les paiements sont effectués en début ou en fin d’année, étant donné qu’une année est considérée comme une période globale.
Attention : Bien que l’outil affiche des messages d’alerte en cas de non respect de diverses limites de saisie, il n’est pas exclu que la saisie de valeurs erronées conduise à l’obtention d’un résultat final également erroné. Il appartient à l’utilisateur de l’outil d’évaluer de façon appropriée les conséquences d’un certain nombre d’hypothèses.
</t>
    </r>
    <r>
      <rPr>
        <sz val="10"/>
        <rFont val="Arial"/>
        <family val="2"/>
      </rPr>
      <t>Formules :
Les onglets de ce classeur sont protégées en écriture, mais l’ensemble des formules et calculs sont néanmoins visibles. Notez bien que toute modification peut entraîner des erreurs en d’autres emplacements et, par conséquent, à des assertions erronées de l’outil.
Analyse de sensibilité / calculs de simulation :
En faisant varier les paramètres de saisie et en enregistrant les résultats individuels des 
calculs de rentabilité, il est possible d’obtenir des informations concernant l’influence des 
paramètres individuels sur l’évolution économique du projet.
Feed-back :
L’équipe de QM Chauffages au bois sera ravie de toute suggestion d’amélioration ou idée concernant 
cet outil, que vous lui transmettrez à l’adresse info@qmholzheizwerke.ch</t>
    </r>
  </si>
  <si>
    <r>
      <rPr>
        <b/>
        <sz val="10"/>
        <rFont val="Arial"/>
        <family val="2"/>
      </rPr>
      <t>Onglets</t>
    </r>
    <r>
      <rPr>
        <sz val="10"/>
        <rFont val="Arial"/>
        <family val="2"/>
      </rPr>
      <t xml:space="preserve"> : Le fichier est divisé en plusieurs onglets
Dénomination : La dénomination des onglets distingue également leur principale fonction :
I  = Information (onglet comportant des informations et des explications sur l’utilisation du fichier)
E = Onglet de données (saisie de données requises pour les calculs)
B = Calculs
A = Onglet de sortie (présentation de résultats sélectionnés en vue de les imprimer ou d’exporter les données)</t>
    </r>
  </si>
  <si>
    <r>
      <t xml:space="preserve">Coûts d’investissement pour les compteurs de chaleur et la régulation des </t>
    </r>
    <r>
      <rPr>
        <b/>
        <sz val="10"/>
        <rFont val="Arial"/>
        <family val="2"/>
      </rPr>
      <t>stations de transfert</t>
    </r>
    <r>
      <rPr>
        <sz val="10"/>
        <rFont val="Arial"/>
        <family val="2"/>
      </rPr>
      <t xml:space="preserve"> de chaleur au niveau des consommateurs (propriété du réseau de chaleur), y compris les compteurs de chaleur des producteurs de chaleur. Ce poste implique généralement des investissements de remplacement après une quinzaine d’années.</t>
    </r>
  </si>
  <si>
    <r>
      <t>Coûts d’investissement liés aux</t>
    </r>
    <r>
      <rPr>
        <b/>
        <sz val="10"/>
        <rFont val="Arial"/>
        <family val="2"/>
      </rPr>
      <t xml:space="preserve"> chaufferies</t>
    </r>
    <r>
      <rPr>
        <sz val="10"/>
        <rFont val="Arial"/>
        <family val="2"/>
      </rPr>
      <t xml:space="preserve"> (part des stations de transfert de chaleur du côté des consommateurs).
Part client, généralement remboursée à l'exploitant du réseau de chaleur avec les frais uniques de raccordement (point 325). Ce poste n’implique généralement pas d’investissements de remplacement pour le compte du réseau de chaleur.
Ce poste n’est pas inclus dans le calcul de la valeur résiduelle!</t>
    </r>
  </si>
  <si>
    <t>QMH projet example 2</t>
  </si>
  <si>
    <t>Modèle de rentabilité</t>
  </si>
  <si>
    <t>CP / lieu</t>
  </si>
  <si>
    <t>date, nome</t>
  </si>
  <si>
    <t>Privé</t>
  </si>
  <si>
    <t>Industrie</t>
  </si>
  <si>
    <t>Commune</t>
  </si>
  <si>
    <t>Privé après 2030</t>
  </si>
  <si>
    <t>École</t>
  </si>
  <si>
    <t>Chancellerie municipale</t>
  </si>
  <si>
    <t>École maternelle</t>
  </si>
  <si>
    <t>Lotissement</t>
  </si>
  <si>
    <t>Crèche/EFH</t>
  </si>
  <si>
    <t>Nouveau MFH</t>
  </si>
  <si>
    <t>EFH</t>
  </si>
  <si>
    <t>Restaurant Couronne</t>
  </si>
  <si>
    <t>Église</t>
  </si>
  <si>
    <t>MFH</t>
  </si>
  <si>
    <t>Rest. Central</t>
  </si>
  <si>
    <t>Village</t>
  </si>
  <si>
    <t>Rue du village 6</t>
  </si>
  <si>
    <t>Bas-Village</t>
  </si>
  <si>
    <t>Village neuf</t>
  </si>
  <si>
    <t>Village supérieur</t>
  </si>
  <si>
    <t>Arrière village</t>
  </si>
  <si>
    <t>Pfarreiheim</t>
  </si>
  <si>
    <t>Arrière village 2</t>
  </si>
  <si>
    <t>Arrière village 5</t>
  </si>
  <si>
    <t>Arrière village 4</t>
  </si>
  <si>
    <t>Arrière village 7</t>
  </si>
  <si>
    <t>Maison 1</t>
  </si>
  <si>
    <t>Maison 2</t>
  </si>
  <si>
    <t>Maison 3</t>
  </si>
  <si>
    <t>Maison 4</t>
  </si>
  <si>
    <t>Maison 5</t>
  </si>
  <si>
    <t>Maison 6</t>
  </si>
  <si>
    <t>Maison 7</t>
  </si>
  <si>
    <t>T 3: Commune</t>
  </si>
  <si>
    <t>T 1: Privé</t>
  </si>
  <si>
    <t>T 2: Industrie</t>
  </si>
  <si>
    <t>T 4: Privé après 2030</t>
  </si>
  <si>
    <t>Version : 6.1 (Décembre 2025)</t>
  </si>
  <si>
    <t>510l</t>
  </si>
  <si>
    <t>Coûts de l'énergie du combustible biomasse : point 175a</t>
  </si>
  <si>
    <t>Coûts de l'énergie de la cogénération chaleur-force (CCF) : point 175b</t>
  </si>
  <si>
    <t>Coûts de l'énergie de la CCF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</si>
</sst>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64" formatCode="_-&quot;€&quot;\ * #,##0.00_-;\-&quot;€&quot;\ * #,##0.00_-;_-&quot;€&quot;\ * &quot;-&quot;??_-;_-@_-"/>
    <numFmt numFmtId="165" formatCode="0.00000"/>
    <numFmt numFmtId="166" formatCode="0.0000"/>
    <numFmt numFmtId="167" formatCode="yyyy"/>
    <numFmt numFmtId="168" formatCode="#,##0_ ;\-#,##0\ "/>
    <numFmt numFmtId="169" formatCode="0_ ;\-0\ "/>
    <numFmt numFmtId="170" formatCode="0.0"/>
    <numFmt numFmtId="171" formatCode="_ * #,##0.0_ ;_ * \-#,##0.0_ ;_ * &quot;-&quot;?_ ;_ @_ "/>
    <numFmt numFmtId="172" formatCode="0.0%"/>
    <numFmt numFmtId="173" formatCode="0.000"/>
  </numFmts>
  <fonts count="28" x14ac:knownFonts="1">
    <font>
      <sz val="11"/>
      <color theme="1"/>
      <name val="Calibri"/>
      <family val="2"/>
      <scheme val="minor"/>
    </font>
    <font>
      <sz val="10"/>
      <color theme="1"/>
      <name val="Arial"/>
      <family val="2"/>
    </font>
    <font>
      <sz val="10"/>
      <color theme="1"/>
      <name val="Arial"/>
      <family val="2"/>
    </font>
    <font>
      <sz val="10"/>
      <name val="Arial"/>
      <family val="2"/>
    </font>
    <font>
      <b/>
      <sz val="10"/>
      <name val="Arial"/>
      <family val="2"/>
    </font>
    <font>
      <sz val="10"/>
      <color indexed="22"/>
      <name val="Arial"/>
      <family val="2"/>
    </font>
    <font>
      <u/>
      <sz val="10"/>
      <color indexed="12"/>
      <name val="Arial"/>
      <family val="2"/>
    </font>
    <font>
      <sz val="11"/>
      <color indexed="8"/>
      <name val="Calibri"/>
      <family val="2"/>
    </font>
    <font>
      <sz val="8"/>
      <name val="Calibri"/>
      <family val="2"/>
    </font>
    <font>
      <sz val="11"/>
      <color theme="1"/>
      <name val="Arial"/>
      <family val="2"/>
    </font>
    <font>
      <sz val="11"/>
      <color theme="1"/>
      <name val="Calibri"/>
      <family val="2"/>
      <scheme val="minor"/>
    </font>
    <font>
      <u/>
      <sz val="10"/>
      <color indexed="12"/>
      <name val="Calibri"/>
      <family val="2"/>
      <scheme val="minor"/>
    </font>
    <font>
      <b/>
      <sz val="10"/>
      <color indexed="22"/>
      <name val="Arial"/>
      <family val="2"/>
    </font>
    <font>
      <sz val="10"/>
      <color rgb="FFFF0000"/>
      <name val="Arial"/>
      <family val="2"/>
    </font>
    <font>
      <b/>
      <sz val="10"/>
      <color theme="1"/>
      <name val="Arial"/>
      <family val="2"/>
    </font>
    <font>
      <sz val="10"/>
      <color theme="0" tint="-0.34998626667073579"/>
      <name val="Arial"/>
      <family val="2"/>
    </font>
    <font>
      <sz val="10"/>
      <color theme="0" tint="-0.249977111117893"/>
      <name val="Arial"/>
      <family val="2"/>
    </font>
    <font>
      <u/>
      <sz val="10"/>
      <color theme="10"/>
      <name val="Arial"/>
      <family val="2"/>
    </font>
    <font>
      <b/>
      <sz val="10"/>
      <color indexed="8"/>
      <name val="Arial"/>
      <family val="2"/>
    </font>
    <font>
      <sz val="10"/>
      <color indexed="8"/>
      <name val="Arial"/>
      <family val="2"/>
    </font>
    <font>
      <b/>
      <sz val="10"/>
      <color rgb="FFFF0000"/>
      <name val="Arial"/>
      <family val="2"/>
    </font>
    <font>
      <sz val="10"/>
      <color indexed="55"/>
      <name val="Arial"/>
      <family val="2"/>
    </font>
    <font>
      <vertAlign val="subscript"/>
      <sz val="10"/>
      <name val="Arial"/>
      <family val="2"/>
    </font>
    <font>
      <b/>
      <sz val="14"/>
      <color theme="4"/>
      <name val="Arial"/>
      <family val="2"/>
    </font>
    <font>
      <u/>
      <sz val="10"/>
      <name val="Arial"/>
      <family val="2"/>
    </font>
    <font>
      <b/>
      <sz val="11"/>
      <name val="Arial"/>
      <family val="2"/>
    </font>
    <font>
      <b/>
      <sz val="10"/>
      <color theme="0" tint="-0.249977111117893"/>
      <name val="Arial"/>
      <family val="2"/>
    </font>
    <font>
      <sz val="10"/>
      <color rgb="FF000000"/>
      <name val="Arial"/>
      <family val="2"/>
    </font>
  </fonts>
  <fills count="11">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9BC2CA"/>
        <bgColor indexed="64"/>
      </patternFill>
    </fill>
    <fill>
      <patternFill patternType="solid">
        <fgColor rgb="FFBDD9DE"/>
        <bgColor indexed="64"/>
      </patternFill>
    </fill>
    <fill>
      <patternFill patternType="solid">
        <fgColor rgb="FFF5D992"/>
        <bgColor indexed="64"/>
      </patternFill>
    </fill>
    <fill>
      <patternFill patternType="solid">
        <fgColor theme="0" tint="-0.14999847407452621"/>
        <bgColor indexed="64"/>
      </patternFill>
    </fill>
    <fill>
      <patternFill patternType="solid">
        <fgColor rgb="FFD8E4BC"/>
        <bgColor indexed="64"/>
      </patternFill>
    </fill>
    <fill>
      <patternFill patternType="solid">
        <fgColor theme="6" tint="0.79998168889431442"/>
        <bgColor indexed="64"/>
      </patternFill>
    </fill>
    <fill>
      <patternFill patternType="solid">
        <fgColor rgb="FFFF0000"/>
        <bgColor indexed="64"/>
      </patternFill>
    </fill>
  </fills>
  <borders count="68">
    <border>
      <left/>
      <right/>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hair">
        <color auto="1"/>
      </bottom>
      <diagonal/>
    </border>
    <border>
      <left style="hair">
        <color auto="1"/>
      </left>
      <right/>
      <top style="thin">
        <color auto="1"/>
      </top>
      <bottom style="hair">
        <color auto="1"/>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bottom style="thin">
        <color theme="0" tint="-0.499984740745262"/>
      </bottom>
      <diagonal/>
    </border>
    <border>
      <left style="hair">
        <color auto="1"/>
      </left>
      <right style="thin">
        <color auto="1"/>
      </right>
      <top style="hair">
        <color auto="1"/>
      </top>
      <bottom/>
      <diagonal/>
    </border>
    <border>
      <left/>
      <right style="hair">
        <color auto="1"/>
      </right>
      <top style="thin">
        <color auto="1"/>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thin">
        <color indexed="64"/>
      </left>
      <right/>
      <top/>
      <bottom style="thin">
        <color auto="1"/>
      </bottom>
      <diagonal/>
    </border>
    <border>
      <left style="thin">
        <color indexed="64"/>
      </left>
      <right/>
      <top/>
      <bottom/>
      <diagonal/>
    </border>
    <border>
      <left/>
      <right/>
      <top/>
      <bottom style="thin">
        <color auto="1"/>
      </bottom>
      <diagonal/>
    </border>
    <border>
      <left/>
      <right style="hair">
        <color auto="1"/>
      </right>
      <top style="hair">
        <color auto="1"/>
      </top>
      <bottom style="thin">
        <color auto="1"/>
      </bottom>
      <diagonal/>
    </border>
    <border>
      <left style="hair">
        <color auto="1"/>
      </left>
      <right style="hair">
        <color auto="1"/>
      </right>
      <top/>
      <bottom style="thin">
        <color auto="1"/>
      </bottom>
      <diagonal/>
    </border>
    <border>
      <left style="hair">
        <color auto="1"/>
      </left>
      <right style="hair">
        <color auto="1"/>
      </right>
      <top/>
      <bottom/>
      <diagonal/>
    </border>
    <border>
      <left/>
      <right style="hair">
        <color auto="1"/>
      </right>
      <top/>
      <bottom style="thin">
        <color auto="1"/>
      </bottom>
      <diagonal/>
    </border>
    <border>
      <left/>
      <right/>
      <top style="thin">
        <color auto="1"/>
      </top>
      <bottom style="medium">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hair">
        <color auto="1"/>
      </left>
      <right style="thin">
        <color auto="1"/>
      </right>
      <top style="thin">
        <color auto="1"/>
      </top>
      <bottom style="medium">
        <color auto="1"/>
      </bottom>
      <diagonal/>
    </border>
    <border>
      <left style="thin">
        <color auto="1"/>
      </left>
      <right/>
      <top/>
      <bottom style="hair">
        <color auto="1"/>
      </bottom>
      <diagonal/>
    </border>
    <border>
      <left style="thin">
        <color auto="1"/>
      </left>
      <right/>
      <top style="hair">
        <color auto="1"/>
      </top>
      <bottom/>
      <diagonal/>
    </border>
    <border>
      <left/>
      <right/>
      <top style="hair">
        <color auto="1"/>
      </top>
      <bottom/>
      <diagonal/>
    </border>
    <border>
      <left style="thin">
        <color auto="1"/>
      </left>
      <right/>
      <top style="thin">
        <color auto="1"/>
      </top>
      <bottom style="medium">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hair">
        <color auto="1"/>
      </left>
      <right style="hair">
        <color auto="1"/>
      </right>
      <top style="hair">
        <color auto="1"/>
      </top>
      <bottom/>
      <diagonal/>
    </border>
    <border>
      <left style="hair">
        <color auto="1"/>
      </left>
      <right style="hair">
        <color auto="1"/>
      </right>
      <top style="thin">
        <color auto="1"/>
      </top>
      <bottom style="double">
        <color auto="1"/>
      </bottom>
      <diagonal/>
    </border>
    <border>
      <left style="hair">
        <color auto="1"/>
      </left>
      <right style="thin">
        <color auto="1"/>
      </right>
      <top style="thin">
        <color auto="1"/>
      </top>
      <bottom style="double">
        <color auto="1"/>
      </bottom>
      <diagonal/>
    </border>
    <border>
      <left style="hair">
        <color auto="1"/>
      </left>
      <right style="thin">
        <color auto="1"/>
      </right>
      <top/>
      <bottom style="thin">
        <color auto="1"/>
      </bottom>
      <diagonal/>
    </border>
    <border>
      <left style="hair">
        <color auto="1"/>
      </left>
      <right style="hair">
        <color auto="1"/>
      </right>
      <top style="thin">
        <color auto="1"/>
      </top>
      <bottom style="medium">
        <color auto="1"/>
      </bottom>
      <diagonal/>
    </border>
    <border>
      <left style="hair">
        <color auto="1"/>
      </left>
      <right style="thin">
        <color auto="1"/>
      </right>
      <top/>
      <bottom/>
      <diagonal/>
    </border>
    <border>
      <left style="thin">
        <color auto="1"/>
      </left>
      <right/>
      <top style="double">
        <color auto="1"/>
      </top>
      <bottom style="double">
        <color auto="1"/>
      </bottom>
      <diagonal/>
    </border>
    <border>
      <left/>
      <right/>
      <top style="double">
        <color auto="1"/>
      </top>
      <bottom style="double">
        <color auto="1"/>
      </bottom>
      <diagonal/>
    </border>
    <border>
      <left style="hair">
        <color auto="1"/>
      </left>
      <right style="hair">
        <color auto="1"/>
      </right>
      <top style="double">
        <color auto="1"/>
      </top>
      <bottom style="double">
        <color auto="1"/>
      </bottom>
      <diagonal/>
    </border>
  </borders>
  <cellStyleXfs count="9">
    <xf numFmtId="0" fontId="0" fillId="0" borderId="0"/>
    <xf numFmtId="164" fontId="3" fillId="0" borderId="0" applyFont="0" applyFill="0" applyBorder="0" applyAlignment="0" applyProtection="0"/>
    <xf numFmtId="0" fontId="11" fillId="0" borderId="0" applyNumberFormat="0" applyFill="0" applyBorder="0" applyAlignment="0" applyProtection="0">
      <alignment vertical="top"/>
      <protection locked="0"/>
    </xf>
    <xf numFmtId="9" fontId="7" fillId="0" borderId="0" applyFont="0" applyFill="0" applyBorder="0" applyAlignment="0" applyProtection="0"/>
    <xf numFmtId="0" fontId="3" fillId="0" borderId="0"/>
    <xf numFmtId="0" fontId="3" fillId="0" borderId="0"/>
    <xf numFmtId="0" fontId="9" fillId="0" borderId="0"/>
    <xf numFmtId="41" fontId="10" fillId="0" borderId="0" applyFont="0" applyFill="0" applyBorder="0" applyAlignment="0" applyProtection="0"/>
    <xf numFmtId="41" fontId="10" fillId="0" borderId="0" applyFont="0" applyFill="0" applyBorder="0" applyAlignment="0" applyProtection="0"/>
  </cellStyleXfs>
  <cellXfs count="372">
    <xf numFmtId="0" fontId="0" fillId="0" borderId="0" xfId="0"/>
    <xf numFmtId="0" fontId="3" fillId="0" borderId="0" xfId="4"/>
    <xf numFmtId="0" fontId="5" fillId="0" borderId="0" xfId="4" applyFont="1"/>
    <xf numFmtId="0" fontId="6" fillId="0" borderId="0" xfId="2" applyFont="1" applyAlignment="1" applyProtection="1"/>
    <xf numFmtId="0" fontId="3" fillId="0" borderId="0" xfId="4" applyAlignment="1">
      <alignment horizontal="center"/>
    </xf>
    <xf numFmtId="0" fontId="4" fillId="0" borderId="0" xfId="4" applyFont="1"/>
    <xf numFmtId="3" fontId="3" fillId="0" borderId="0" xfId="4" applyNumberFormat="1"/>
    <xf numFmtId="4" fontId="3" fillId="0" borderId="0" xfId="4" applyNumberFormat="1"/>
    <xf numFmtId="2" fontId="4" fillId="0" borderId="0" xfId="4" applyNumberFormat="1" applyFont="1"/>
    <xf numFmtId="0" fontId="12" fillId="0" borderId="0" xfId="4" applyFont="1"/>
    <xf numFmtId="0" fontId="3" fillId="0" borderId="2" xfId="5" applyBorder="1" applyAlignment="1">
      <alignment vertical="top" wrapText="1"/>
    </xf>
    <xf numFmtId="0" fontId="2" fillId="0" borderId="0" xfId="0" applyFont="1"/>
    <xf numFmtId="0" fontId="14" fillId="4" borderId="0" xfId="0" applyFont="1" applyFill="1" applyAlignment="1">
      <alignment horizontal="left" vertical="top"/>
    </xf>
    <xf numFmtId="0" fontId="14" fillId="4" borderId="0" xfId="0" applyFont="1" applyFill="1" applyAlignment="1">
      <alignment vertical="top"/>
    </xf>
    <xf numFmtId="0" fontId="17" fillId="5" borderId="0" xfId="2" applyNumberFormat="1" applyFont="1" applyFill="1" applyBorder="1" applyAlignment="1" applyProtection="1">
      <alignment horizontal="center" vertical="top"/>
    </xf>
    <xf numFmtId="0" fontId="14" fillId="5" borderId="0" xfId="0" applyFont="1" applyFill="1" applyAlignment="1">
      <alignment vertical="top"/>
    </xf>
    <xf numFmtId="0" fontId="14" fillId="0" borderId="0" xfId="0" applyFont="1" applyAlignment="1">
      <alignment horizontal="center" vertical="top"/>
    </xf>
    <xf numFmtId="0" fontId="14" fillId="5" borderId="0" xfId="0" applyFont="1" applyFill="1" applyAlignment="1">
      <alignment vertical="top" wrapText="1"/>
    </xf>
    <xf numFmtId="1" fontId="14" fillId="4" borderId="0" xfId="0" applyNumberFormat="1" applyFont="1" applyFill="1" applyAlignment="1">
      <alignment vertical="top"/>
    </xf>
    <xf numFmtId="0" fontId="4" fillId="0" borderId="0" xfId="0" applyFont="1" applyAlignment="1">
      <alignment vertical="top"/>
    </xf>
    <xf numFmtId="0" fontId="14" fillId="0" borderId="0" xfId="0" applyFont="1" applyAlignment="1">
      <alignment vertical="top"/>
    </xf>
    <xf numFmtId="49" fontId="14" fillId="0" borderId="0" xfId="0" applyNumberFormat="1" applyFont="1" applyAlignment="1">
      <alignment vertical="top"/>
    </xf>
    <xf numFmtId="49" fontId="14" fillId="0" borderId="0" xfId="0" applyNumberFormat="1" applyFont="1" applyAlignment="1">
      <alignment horizontal="left" vertical="top"/>
    </xf>
    <xf numFmtId="0" fontId="14" fillId="0" borderId="0" xfId="0" applyFont="1"/>
    <xf numFmtId="0" fontId="6" fillId="0" borderId="0" xfId="2" applyFont="1" applyFill="1" applyAlignment="1" applyProtection="1"/>
    <xf numFmtId="0" fontId="18" fillId="0" borderId="0" xfId="0" applyFont="1" applyAlignment="1">
      <alignment horizontal="right"/>
    </xf>
    <xf numFmtId="1" fontId="4" fillId="0" borderId="0" xfId="4" applyNumberFormat="1" applyFont="1"/>
    <xf numFmtId="0" fontId="14" fillId="0" borderId="0" xfId="0" applyFont="1" applyAlignment="1">
      <alignment horizontal="right"/>
    </xf>
    <xf numFmtId="0" fontId="3" fillId="2" borderId="0" xfId="4" applyFill="1"/>
    <xf numFmtId="0" fontId="19" fillId="0" borderId="0" xfId="0" applyFont="1" applyAlignment="1">
      <alignment horizontal="right"/>
    </xf>
    <xf numFmtId="9" fontId="3" fillId="0" borderId="0" xfId="3" applyFont="1" applyFill="1" applyBorder="1" applyAlignment="1" applyProtection="1"/>
    <xf numFmtId="0" fontId="3" fillId="0" borderId="0" xfId="4" applyAlignment="1">
      <alignment horizontal="right"/>
    </xf>
    <xf numFmtId="172" fontId="3" fillId="0" borderId="0" xfId="4" applyNumberFormat="1"/>
    <xf numFmtId="172" fontId="3" fillId="0" borderId="0" xfId="3" applyNumberFormat="1" applyFont="1" applyFill="1" applyProtection="1"/>
    <xf numFmtId="1" fontId="3" fillId="0" borderId="0" xfId="4" applyNumberFormat="1"/>
    <xf numFmtId="0" fontId="3" fillId="0" borderId="0" xfId="0" applyFont="1"/>
    <xf numFmtId="0" fontId="3" fillId="0" borderId="0" xfId="4" applyAlignment="1">
      <alignment vertical="top"/>
    </xf>
    <xf numFmtId="0" fontId="4" fillId="0" borderId="0" xfId="2" applyFont="1" applyAlignment="1" applyProtection="1"/>
    <xf numFmtId="0" fontId="4" fillId="0" borderId="0" xfId="0" applyFont="1"/>
    <xf numFmtId="1" fontId="14" fillId="0" borderId="0" xfId="0" applyNumberFormat="1" applyFont="1" applyAlignment="1">
      <alignment horizontal="right"/>
    </xf>
    <xf numFmtId="172" fontId="3" fillId="0" borderId="0" xfId="3" applyNumberFormat="1" applyFont="1" applyFill="1" applyBorder="1" applyAlignment="1" applyProtection="1"/>
    <xf numFmtId="3" fontId="4" fillId="0" borderId="0" xfId="4" applyNumberFormat="1" applyFont="1"/>
    <xf numFmtId="3" fontId="14" fillId="0" borderId="0" xfId="0" applyNumberFormat="1" applyFont="1"/>
    <xf numFmtId="1" fontId="4" fillId="3" borderId="0" xfId="4" applyNumberFormat="1" applyFont="1" applyFill="1" applyProtection="1">
      <protection locked="0"/>
    </xf>
    <xf numFmtId="1" fontId="3" fillId="0" borderId="0" xfId="4" applyNumberFormat="1" applyAlignment="1">
      <alignment horizontal="right"/>
    </xf>
    <xf numFmtId="172" fontId="3" fillId="0" borderId="0" xfId="3" applyNumberFormat="1" applyFont="1" applyFill="1" applyProtection="1">
      <protection locked="0"/>
    </xf>
    <xf numFmtId="0" fontId="4" fillId="0" borderId="0" xfId="4" applyFont="1" applyAlignment="1">
      <alignment horizontal="right"/>
    </xf>
    <xf numFmtId="0" fontId="20" fillId="0" borderId="0" xfId="4" applyFont="1"/>
    <xf numFmtId="0" fontId="4" fillId="0" borderId="0" xfId="4" applyFont="1" applyAlignment="1">
      <alignment horizontal="left"/>
    </xf>
    <xf numFmtId="0" fontId="3" fillId="0" borderId="0" xfId="6" applyFont="1"/>
    <xf numFmtId="10" fontId="4" fillId="0" borderId="0" xfId="3" applyNumberFormat="1" applyFont="1" applyBorder="1" applyProtection="1"/>
    <xf numFmtId="10" fontId="3" fillId="0" borderId="0" xfId="3" applyNumberFormat="1" applyFont="1" applyFill="1" applyBorder="1" applyProtection="1"/>
    <xf numFmtId="10" fontId="3" fillId="0" borderId="0" xfId="3" applyNumberFormat="1" applyFont="1" applyBorder="1" applyProtection="1"/>
    <xf numFmtId="3" fontId="3" fillId="0" borderId="0" xfId="4" applyNumberFormat="1" applyAlignment="1">
      <alignment shrinkToFit="1"/>
    </xf>
    <xf numFmtId="10" fontId="3" fillId="0" borderId="0" xfId="3" applyNumberFormat="1" applyFont="1" applyProtection="1"/>
    <xf numFmtId="167" fontId="3" fillId="0" borderId="0" xfId="4" applyNumberFormat="1"/>
    <xf numFmtId="173" fontId="3" fillId="0" borderId="0" xfId="4" applyNumberFormat="1"/>
    <xf numFmtId="168" fontId="3" fillId="0" borderId="0" xfId="1" applyNumberFormat="1" applyFont="1" applyAlignment="1" applyProtection="1"/>
    <xf numFmtId="0" fontId="3" fillId="0" borderId="0" xfId="4" applyAlignment="1">
      <alignment horizontal="left"/>
    </xf>
    <xf numFmtId="169" fontId="3" fillId="0" borderId="0" xfId="1" applyNumberFormat="1" applyFont="1" applyAlignment="1" applyProtection="1"/>
    <xf numFmtId="169" fontId="3" fillId="0" borderId="0" xfId="1" applyNumberFormat="1" applyFont="1" applyAlignment="1" applyProtection="1">
      <alignment horizontal="right"/>
    </xf>
    <xf numFmtId="0" fontId="4" fillId="0" borderId="43" xfId="4" applyFont="1" applyBorder="1"/>
    <xf numFmtId="0" fontId="4" fillId="0" borderId="42" xfId="4" applyFont="1" applyBorder="1"/>
    <xf numFmtId="0" fontId="3" fillId="0" borderId="42" xfId="4" applyBorder="1"/>
    <xf numFmtId="0" fontId="3" fillId="0" borderId="11" xfId="4" applyBorder="1" applyAlignment="1">
      <alignment vertical="center"/>
    </xf>
    <xf numFmtId="0" fontId="3" fillId="0" borderId="21" xfId="4" applyBorder="1" applyAlignment="1">
      <alignment vertical="center" wrapText="1"/>
    </xf>
    <xf numFmtId="0" fontId="3" fillId="0" borderId="1" xfId="4" applyBorder="1" applyAlignment="1">
      <alignment vertical="center" wrapText="1"/>
    </xf>
    <xf numFmtId="0" fontId="3" fillId="0" borderId="11" xfId="4" applyBorder="1" applyAlignment="1">
      <alignment vertical="center" wrapText="1"/>
    </xf>
    <xf numFmtId="0" fontId="3" fillId="0" borderId="13" xfId="4" applyBorder="1" applyAlignment="1">
      <alignment vertical="center" wrapText="1"/>
    </xf>
    <xf numFmtId="0" fontId="4" fillId="0" borderId="1" xfId="4" applyFont="1" applyBorder="1" applyAlignment="1">
      <alignment vertical="center" wrapText="1"/>
    </xf>
    <xf numFmtId="0" fontId="3" fillId="0" borderId="29" xfId="4" applyBorder="1" applyAlignment="1">
      <alignment vertical="center" wrapText="1"/>
    </xf>
    <xf numFmtId="0" fontId="3" fillId="0" borderId="0" xfId="4" applyAlignment="1">
      <alignment horizontal="center" vertical="center"/>
    </xf>
    <xf numFmtId="0" fontId="3" fillId="0" borderId="12" xfId="4" applyBorder="1" applyAlignment="1">
      <alignment horizontal="center"/>
    </xf>
    <xf numFmtId="0" fontId="3" fillId="0" borderId="22" xfId="4" applyBorder="1" applyAlignment="1">
      <alignment horizontal="center"/>
    </xf>
    <xf numFmtId="0" fontId="3" fillId="0" borderId="2" xfId="4" applyBorder="1" applyAlignment="1">
      <alignment horizontal="center"/>
    </xf>
    <xf numFmtId="0" fontId="3" fillId="0" borderId="14" xfId="4" applyBorder="1" applyAlignment="1">
      <alignment horizontal="center"/>
    </xf>
    <xf numFmtId="0" fontId="3" fillId="0" borderId="31" xfId="4" applyBorder="1" applyAlignment="1">
      <alignment horizontal="center"/>
    </xf>
    <xf numFmtId="1" fontId="3" fillId="0" borderId="12" xfId="4" applyNumberFormat="1" applyBorder="1" applyAlignment="1">
      <alignment shrinkToFit="1"/>
    </xf>
    <xf numFmtId="3" fontId="3" fillId="0" borderId="22" xfId="4" applyNumberFormat="1" applyBorder="1" applyAlignment="1">
      <alignment shrinkToFit="1"/>
    </xf>
    <xf numFmtId="2" fontId="3" fillId="0" borderId="2" xfId="4" applyNumberFormat="1" applyBorder="1" applyAlignment="1">
      <alignment shrinkToFit="1"/>
    </xf>
    <xf numFmtId="3" fontId="3" fillId="0" borderId="12" xfId="4" applyNumberFormat="1" applyBorder="1" applyAlignment="1">
      <alignment shrinkToFit="1"/>
    </xf>
    <xf numFmtId="3" fontId="3" fillId="0" borderId="14" xfId="4" applyNumberFormat="1" applyBorder="1" applyAlignment="1">
      <alignment shrinkToFit="1"/>
    </xf>
    <xf numFmtId="3" fontId="3" fillId="3" borderId="14" xfId="4" applyNumberFormat="1" applyFill="1" applyBorder="1" applyAlignment="1" applyProtection="1">
      <alignment shrinkToFit="1"/>
      <protection locked="0"/>
    </xf>
    <xf numFmtId="3" fontId="3" fillId="2" borderId="14" xfId="4" applyNumberFormat="1" applyFill="1" applyBorder="1" applyAlignment="1" applyProtection="1">
      <alignment shrinkToFit="1"/>
      <protection locked="0"/>
    </xf>
    <xf numFmtId="3" fontId="4" fillId="0" borderId="2" xfId="4" applyNumberFormat="1" applyFont="1" applyBorder="1" applyAlignment="1">
      <alignment shrinkToFit="1"/>
    </xf>
    <xf numFmtId="3" fontId="3" fillId="3" borderId="31" xfId="4" applyNumberFormat="1" applyFill="1" applyBorder="1" applyAlignment="1" applyProtection="1">
      <alignment shrinkToFit="1"/>
      <protection locked="0"/>
    </xf>
    <xf numFmtId="3" fontId="3" fillId="0" borderId="41" xfId="4" applyNumberFormat="1" applyBorder="1" applyAlignment="1">
      <alignment shrinkToFit="1"/>
    </xf>
    <xf numFmtId="3" fontId="3" fillId="0" borderId="2" xfId="4" applyNumberFormat="1" applyBorder="1" applyAlignment="1">
      <alignment vertical="top" shrinkToFit="1"/>
    </xf>
    <xf numFmtId="3" fontId="3" fillId="0" borderId="14" xfId="4" applyNumberFormat="1" applyBorder="1"/>
    <xf numFmtId="3" fontId="16" fillId="0" borderId="0" xfId="7" applyNumberFormat="1" applyFont="1" applyProtection="1"/>
    <xf numFmtId="1" fontId="3" fillId="0" borderId="15" xfId="4" applyNumberFormat="1" applyBorder="1" applyAlignment="1">
      <alignment shrinkToFit="1"/>
    </xf>
    <xf numFmtId="3" fontId="3" fillId="0" borderId="16" xfId="4" applyNumberFormat="1" applyBorder="1" applyAlignment="1">
      <alignment shrinkToFit="1"/>
    </xf>
    <xf numFmtId="2" fontId="3" fillId="0" borderId="17" xfId="4" applyNumberFormat="1" applyBorder="1" applyAlignment="1">
      <alignment shrinkToFit="1"/>
    </xf>
    <xf numFmtId="3" fontId="3" fillId="0" borderId="15" xfId="4" applyNumberFormat="1" applyBorder="1" applyAlignment="1">
      <alignment shrinkToFit="1"/>
    </xf>
    <xf numFmtId="3" fontId="3" fillId="3" borderId="16" xfId="4" applyNumberFormat="1" applyFill="1" applyBorder="1" applyAlignment="1" applyProtection="1">
      <alignment shrinkToFit="1"/>
      <protection locked="0"/>
    </xf>
    <xf numFmtId="3" fontId="3" fillId="2" borderId="16" xfId="4" applyNumberFormat="1" applyFill="1" applyBorder="1" applyAlignment="1" applyProtection="1">
      <alignment shrinkToFit="1"/>
      <protection locked="0"/>
    </xf>
    <xf numFmtId="3" fontId="4" fillId="0" borderId="17" xfId="4" applyNumberFormat="1" applyFont="1" applyBorder="1" applyAlignment="1">
      <alignment shrinkToFit="1"/>
    </xf>
    <xf numFmtId="3" fontId="3" fillId="3" borderId="32" xfId="4" applyNumberFormat="1" applyFill="1" applyBorder="1" applyAlignment="1" applyProtection="1">
      <alignment shrinkToFit="1"/>
      <protection locked="0"/>
    </xf>
    <xf numFmtId="0" fontId="2" fillId="0" borderId="0" xfId="6" applyFont="1" applyAlignment="1">
      <alignment vertical="center"/>
    </xf>
    <xf numFmtId="0" fontId="4" fillId="0" borderId="0" xfId="6" applyFont="1" applyAlignment="1">
      <alignment vertical="center"/>
    </xf>
    <xf numFmtId="0" fontId="3" fillId="8" borderId="0" xfId="4" applyFill="1"/>
    <xf numFmtId="0" fontId="3" fillId="0" borderId="0" xfId="6" applyFont="1" applyAlignment="1">
      <alignment vertical="center"/>
    </xf>
    <xf numFmtId="0" fontId="2" fillId="0" borderId="0" xfId="0" applyFont="1" applyAlignment="1">
      <alignment vertical="center"/>
    </xf>
    <xf numFmtId="0" fontId="3" fillId="8" borderId="25" xfId="6" applyFont="1" applyFill="1" applyBorder="1" applyAlignment="1" applyProtection="1">
      <alignment horizontal="center" vertical="center"/>
      <protection locked="0"/>
    </xf>
    <xf numFmtId="0" fontId="3" fillId="8" borderId="25" xfId="6" applyFont="1" applyFill="1" applyBorder="1" applyAlignment="1" applyProtection="1">
      <alignment vertical="center"/>
      <protection locked="0"/>
    </xf>
    <xf numFmtId="9" fontId="2" fillId="0" borderId="0" xfId="3" applyFont="1" applyAlignment="1" applyProtection="1">
      <alignment vertical="center"/>
    </xf>
    <xf numFmtId="41" fontId="2" fillId="0" borderId="0" xfId="7" applyFont="1" applyAlignment="1" applyProtection="1">
      <alignment vertical="center"/>
    </xf>
    <xf numFmtId="41" fontId="3" fillId="0" borderId="25" xfId="6" applyNumberFormat="1" applyFont="1" applyBorder="1" applyAlignment="1">
      <alignment vertical="center"/>
    </xf>
    <xf numFmtId="3" fontId="2" fillId="0" borderId="0" xfId="0" applyNumberFormat="1" applyFont="1" applyAlignment="1">
      <alignment vertical="center"/>
    </xf>
    <xf numFmtId="0" fontId="14" fillId="0" borderId="27" xfId="6" applyFont="1" applyBorder="1" applyAlignment="1">
      <alignment vertical="center"/>
    </xf>
    <xf numFmtId="0" fontId="14" fillId="0" borderId="25" xfId="6" applyFont="1" applyBorder="1" applyAlignment="1">
      <alignment vertical="center"/>
    </xf>
    <xf numFmtId="41" fontId="4" fillId="0" borderId="25" xfId="6" applyNumberFormat="1" applyFont="1" applyBorder="1" applyAlignment="1">
      <alignment vertical="center"/>
    </xf>
    <xf numFmtId="3" fontId="14" fillId="0" borderId="0" xfId="0" applyNumberFormat="1" applyFont="1" applyAlignment="1">
      <alignment vertical="center"/>
    </xf>
    <xf numFmtId="171" fontId="14" fillId="0" borderId="25" xfId="6" applyNumberFormat="1" applyFont="1" applyBorder="1" applyAlignment="1">
      <alignment vertical="center"/>
    </xf>
    <xf numFmtId="0" fontId="14" fillId="0" borderId="0" xfId="0" applyFont="1" applyAlignment="1">
      <alignment vertical="center"/>
    </xf>
    <xf numFmtId="0" fontId="15" fillId="0" borderId="0" xfId="6" applyFont="1" applyAlignment="1">
      <alignment vertical="center"/>
    </xf>
    <xf numFmtId="165" fontId="3" fillId="0" borderId="0" xfId="4" applyNumberFormat="1"/>
    <xf numFmtId="0" fontId="3" fillId="0" borderId="3" xfId="4" applyBorder="1"/>
    <xf numFmtId="0" fontId="3" fillId="0" borderId="4" xfId="4" applyBorder="1"/>
    <xf numFmtId="0" fontId="3" fillId="2" borderId="4" xfId="4" applyFill="1" applyBorder="1" applyAlignment="1" applyProtection="1">
      <alignment horizontal="left"/>
      <protection locked="0"/>
    </xf>
    <xf numFmtId="0" fontId="3" fillId="0" borderId="4" xfId="4" applyBorder="1" applyAlignment="1">
      <alignment horizontal="left"/>
    </xf>
    <xf numFmtId="170" fontId="3" fillId="0" borderId="4" xfId="3" applyNumberFormat="1" applyFont="1" applyFill="1" applyBorder="1" applyProtection="1"/>
    <xf numFmtId="0" fontId="3" fillId="0" borderId="5" xfId="4" applyBorder="1"/>
    <xf numFmtId="0" fontId="3" fillId="2" borderId="0" xfId="4" applyFill="1" applyProtection="1">
      <protection locked="0"/>
    </xf>
    <xf numFmtId="0" fontId="3" fillId="0" borderId="7" xfId="4" applyBorder="1"/>
    <xf numFmtId="0" fontId="3" fillId="0" borderId="6" xfId="4" applyBorder="1"/>
    <xf numFmtId="0" fontId="3" fillId="0" borderId="8" xfId="4" applyBorder="1"/>
    <xf numFmtId="0" fontId="3" fillId="0" borderId="9" xfId="4" applyBorder="1"/>
    <xf numFmtId="0" fontId="3" fillId="0" borderId="10" xfId="4" applyBorder="1"/>
    <xf numFmtId="0" fontId="21" fillId="0" borderId="0" xfId="4" applyFont="1"/>
    <xf numFmtId="0" fontId="4" fillId="2" borderId="0" xfId="4" applyFont="1" applyFill="1" applyProtection="1">
      <protection locked="0"/>
    </xf>
    <xf numFmtId="0" fontId="3" fillId="0" borderId="0" xfId="4" applyAlignment="1">
      <alignment vertical="top" wrapText="1"/>
    </xf>
    <xf numFmtId="0" fontId="3" fillId="0" borderId="0" xfId="4" applyAlignment="1">
      <alignment horizontal="right" vertical="top"/>
    </xf>
    <xf numFmtId="0" fontId="4" fillId="0" borderId="0" xfId="4" applyFont="1" applyAlignment="1">
      <alignment horizontal="right" vertical="top"/>
    </xf>
    <xf numFmtId="3" fontId="4" fillId="0" borderId="0" xfId="4" applyNumberFormat="1" applyFont="1" applyAlignment="1">
      <alignment horizontal="center"/>
    </xf>
    <xf numFmtId="0" fontId="4" fillId="0" borderId="0" xfId="4" applyFont="1" applyAlignment="1">
      <alignment horizontal="center"/>
    </xf>
    <xf numFmtId="0" fontId="4" fillId="0" borderId="0" xfId="0" applyFont="1" applyAlignment="1">
      <alignment horizontal="right"/>
    </xf>
    <xf numFmtId="0" fontId="4" fillId="0" borderId="0" xfId="4" applyFont="1" applyAlignment="1">
      <alignment horizontal="right" vertical="center"/>
    </xf>
    <xf numFmtId="0" fontId="3" fillId="0" borderId="0" xfId="4" applyAlignment="1" applyProtection="1">
      <alignment vertical="top"/>
      <protection locked="0"/>
    </xf>
    <xf numFmtId="0" fontId="5" fillId="0" borderId="0" xfId="4" applyFont="1" applyAlignment="1" applyProtection="1">
      <alignment vertical="top"/>
      <protection locked="0"/>
    </xf>
    <xf numFmtId="0" fontId="4" fillId="0" borderId="1" xfId="5" applyFont="1" applyBorder="1" applyAlignment="1">
      <alignment vertical="top" wrapText="1"/>
    </xf>
    <xf numFmtId="0" fontId="3" fillId="0" borderId="0" xfId="5" applyAlignment="1" applyProtection="1">
      <alignment vertical="top"/>
      <protection locked="0"/>
    </xf>
    <xf numFmtId="0" fontId="4" fillId="0" borderId="2" xfId="5" applyFont="1" applyBorder="1" applyAlignment="1">
      <alignment vertical="top" wrapText="1"/>
    </xf>
    <xf numFmtId="0" fontId="3" fillId="3" borderId="2" xfId="5" applyFill="1" applyBorder="1" applyAlignment="1">
      <alignment vertical="top" wrapText="1"/>
    </xf>
    <xf numFmtId="0" fontId="3" fillId="8" borderId="2" xfId="5" applyFill="1" applyBorder="1" applyAlignment="1">
      <alignment vertical="top" wrapText="1"/>
    </xf>
    <xf numFmtId="0" fontId="3" fillId="6" borderId="2" xfId="5" applyFill="1" applyBorder="1" applyAlignment="1">
      <alignment vertical="top" wrapText="1"/>
    </xf>
    <xf numFmtId="0" fontId="4" fillId="0" borderId="0" xfId="5" applyFont="1" applyAlignment="1" applyProtection="1">
      <alignment vertical="top"/>
      <protection locked="0"/>
    </xf>
    <xf numFmtId="0" fontId="4" fillId="0" borderId="2" xfId="5" applyFont="1" applyBorder="1" applyAlignment="1">
      <alignment horizontal="left" vertical="top" wrapText="1"/>
    </xf>
    <xf numFmtId="0" fontId="23" fillId="0" borderId="0" xfId="4" applyFont="1"/>
    <xf numFmtId="0" fontId="3" fillId="9" borderId="13" xfId="4" applyFill="1" applyBorder="1" applyAlignment="1" applyProtection="1">
      <alignment vertical="center" wrapText="1"/>
      <protection locked="0"/>
    </xf>
    <xf numFmtId="3" fontId="3" fillId="9" borderId="14" xfId="4" applyNumberFormat="1" applyFill="1" applyBorder="1" applyAlignment="1" applyProtection="1">
      <alignment shrinkToFit="1"/>
      <protection locked="0"/>
    </xf>
    <xf numFmtId="10" fontId="3" fillId="9" borderId="0" xfId="3" applyNumberFormat="1" applyFont="1" applyFill="1" applyBorder="1" applyProtection="1">
      <protection locked="0"/>
    </xf>
    <xf numFmtId="0" fontId="3" fillId="9" borderId="0" xfId="4" applyFill="1"/>
    <xf numFmtId="0" fontId="23" fillId="0" borderId="0" xfId="6" applyFont="1" applyAlignment="1">
      <alignment vertical="center"/>
    </xf>
    <xf numFmtId="1" fontId="3" fillId="9" borderId="0" xfId="4" applyNumberFormat="1" applyFill="1" applyProtection="1">
      <protection locked="0"/>
    </xf>
    <xf numFmtId="2" fontId="3" fillId="9" borderId="0" xfId="4" applyNumberFormat="1" applyFill="1" applyProtection="1">
      <protection locked="0"/>
    </xf>
    <xf numFmtId="0" fontId="3" fillId="9" borderId="2" xfId="5" applyFill="1" applyBorder="1" applyAlignment="1">
      <alignment vertical="top" wrapText="1"/>
    </xf>
    <xf numFmtId="0" fontId="13" fillId="0" borderId="0" xfId="4" applyFont="1"/>
    <xf numFmtId="0" fontId="13" fillId="0" borderId="0" xfId="4" applyFont="1" applyAlignment="1">
      <alignment horizontal="right"/>
    </xf>
    <xf numFmtId="0" fontId="13" fillId="2" borderId="0" xfId="4" applyFont="1" applyFill="1" applyProtection="1">
      <protection locked="0"/>
    </xf>
    <xf numFmtId="0" fontId="3" fillId="0" borderId="39" xfId="4" applyBorder="1" applyAlignment="1">
      <alignment vertical="center" wrapText="1"/>
    </xf>
    <xf numFmtId="0" fontId="3" fillId="0" borderId="44" xfId="4" applyBorder="1"/>
    <xf numFmtId="0" fontId="3" fillId="0" borderId="2" xfId="4" applyBorder="1"/>
    <xf numFmtId="3" fontId="3" fillId="0" borderId="12" xfId="4" applyNumberFormat="1" applyBorder="1"/>
    <xf numFmtId="1" fontId="3" fillId="0" borderId="2" xfId="4" applyNumberFormat="1" applyBorder="1"/>
    <xf numFmtId="3" fontId="3" fillId="0" borderId="16" xfId="4" applyNumberFormat="1" applyBorder="1"/>
    <xf numFmtId="1" fontId="3" fillId="0" borderId="17" xfId="4" applyNumberFormat="1" applyBorder="1"/>
    <xf numFmtId="3" fontId="3" fillId="0" borderId="23" xfId="4" applyNumberFormat="1" applyBorder="1" applyAlignment="1">
      <alignment shrinkToFit="1"/>
    </xf>
    <xf numFmtId="3" fontId="3" fillId="9" borderId="16" xfId="4" applyNumberFormat="1" applyFill="1" applyBorder="1" applyAlignment="1" applyProtection="1">
      <alignment shrinkToFit="1"/>
      <protection locked="0"/>
    </xf>
    <xf numFmtId="3" fontId="3" fillId="0" borderId="45" xfId="4" applyNumberFormat="1" applyBorder="1" applyAlignment="1">
      <alignment shrinkToFit="1"/>
    </xf>
    <xf numFmtId="3" fontId="3" fillId="0" borderId="17" xfId="4" applyNumberFormat="1" applyBorder="1" applyAlignment="1">
      <alignment vertical="top" shrinkToFit="1"/>
    </xf>
    <xf numFmtId="0" fontId="3" fillId="7" borderId="0" xfId="4" applyFill="1"/>
    <xf numFmtId="0" fontId="3" fillId="7" borderId="0" xfId="4" applyFill="1" applyProtection="1">
      <protection locked="0"/>
    </xf>
    <xf numFmtId="1" fontId="3" fillId="7" borderId="0" xfId="4" applyNumberFormat="1" applyFill="1"/>
    <xf numFmtId="0" fontId="6" fillId="0" borderId="0" xfId="2" applyFont="1" applyFill="1" applyAlignment="1" applyProtection="1">
      <alignment horizontal="right"/>
    </xf>
    <xf numFmtId="0" fontId="6" fillId="0" borderId="0" xfId="2" applyFont="1" applyAlignment="1" applyProtection="1">
      <alignment horizontal="right"/>
    </xf>
    <xf numFmtId="0" fontId="9" fillId="0" borderId="0" xfId="0" applyFont="1" applyAlignment="1">
      <alignment horizontal="right"/>
    </xf>
    <xf numFmtId="0" fontId="20" fillId="0" borderId="0" xfId="2" applyFont="1" applyAlignment="1" applyProtection="1">
      <alignment horizontal="right"/>
    </xf>
    <xf numFmtId="0" fontId="11" fillId="0" borderId="0" xfId="2" applyFill="1" applyAlignment="1" applyProtection="1">
      <alignment horizontal="right"/>
    </xf>
    <xf numFmtId="0" fontId="6" fillId="0" borderId="0" xfId="2" applyFont="1" applyAlignment="1" applyProtection="1">
      <alignment horizontal="right" vertical="center"/>
    </xf>
    <xf numFmtId="0" fontId="2" fillId="0" borderId="0" xfId="6" applyFont="1" applyAlignment="1">
      <alignment horizontal="right" vertical="center"/>
    </xf>
    <xf numFmtId="0" fontId="3" fillId="0" borderId="0" xfId="4" applyAlignment="1">
      <alignment horizontal="right" vertical="center"/>
    </xf>
    <xf numFmtId="0" fontId="3" fillId="0" borderId="41" xfId="4" applyBorder="1" applyAlignment="1">
      <alignment horizontal="center"/>
    </xf>
    <xf numFmtId="0" fontId="3" fillId="0" borderId="0" xfId="0" applyFont="1" applyAlignment="1">
      <alignment horizontal="right"/>
    </xf>
    <xf numFmtId="0" fontId="11" fillId="0" borderId="0" xfId="2" applyAlignment="1" applyProtection="1">
      <alignment horizontal="right"/>
    </xf>
    <xf numFmtId="0" fontId="11" fillId="0" borderId="0" xfId="2" applyAlignment="1" applyProtection="1">
      <alignment horizontal="right" vertical="center"/>
    </xf>
    <xf numFmtId="0" fontId="11" fillId="0" borderId="18" xfId="2" applyBorder="1" applyAlignment="1" applyProtection="1">
      <alignment horizontal="center" vertical="center"/>
    </xf>
    <xf numFmtId="0" fontId="11" fillId="0" borderId="28" xfId="2" applyBorder="1" applyAlignment="1" applyProtection="1">
      <alignment horizontal="center" vertical="center"/>
    </xf>
    <xf numFmtId="0" fontId="11" fillId="0" borderId="2" xfId="2" applyBorder="1" applyAlignment="1" applyProtection="1">
      <alignment horizontal="center" vertical="center" wrapText="1"/>
    </xf>
    <xf numFmtId="0" fontId="11" fillId="0" borderId="19" xfId="2" applyBorder="1" applyAlignment="1" applyProtection="1">
      <alignment horizontal="center" vertical="center"/>
    </xf>
    <xf numFmtId="0" fontId="11" fillId="0" borderId="19" xfId="2" applyFill="1" applyBorder="1" applyAlignment="1" applyProtection="1">
      <alignment horizontal="center" vertical="center" wrapText="1"/>
    </xf>
    <xf numFmtId="0" fontId="11" fillId="0" borderId="19" xfId="2" applyBorder="1" applyAlignment="1" applyProtection="1">
      <alignment horizontal="center" vertical="center" wrapText="1"/>
    </xf>
    <xf numFmtId="0" fontId="11" fillId="0" borderId="40" xfId="2" applyBorder="1" applyAlignment="1" applyProtection="1">
      <alignment horizontal="center" vertical="center" wrapText="1"/>
    </xf>
    <xf numFmtId="0" fontId="11" fillId="0" borderId="28" xfId="2" applyFill="1" applyBorder="1" applyAlignment="1" applyProtection="1">
      <alignment horizontal="center" vertical="center"/>
    </xf>
    <xf numFmtId="0" fontId="11" fillId="0" borderId="14" xfId="2" applyFill="1" applyBorder="1" applyAlignment="1" applyProtection="1">
      <alignment horizontal="center" vertical="center" wrapText="1"/>
    </xf>
    <xf numFmtId="0" fontId="11" fillId="0" borderId="28" xfId="2" applyBorder="1" applyAlignment="1" applyProtection="1">
      <alignment horizontal="center" vertical="center" wrapText="1"/>
    </xf>
    <xf numFmtId="0" fontId="11" fillId="0" borderId="30" xfId="2" applyBorder="1" applyAlignment="1" applyProtection="1">
      <alignment horizontal="center" vertical="center" wrapText="1"/>
    </xf>
    <xf numFmtId="0" fontId="11" fillId="0" borderId="20" xfId="2" applyBorder="1" applyAlignment="1" applyProtection="1">
      <alignment horizontal="center" vertical="center" wrapText="1"/>
    </xf>
    <xf numFmtId="0" fontId="11" fillId="0" borderId="12" xfId="2" applyBorder="1" applyAlignment="1" applyProtection="1">
      <alignment horizontal="center" vertical="center" wrapText="1"/>
    </xf>
    <xf numFmtId="0" fontId="11" fillId="0" borderId="18" xfId="2" applyFill="1" applyBorder="1" applyAlignment="1" applyProtection="1">
      <alignment horizontal="center" vertical="center" wrapText="1"/>
    </xf>
    <xf numFmtId="0" fontId="11" fillId="0" borderId="2" xfId="2" applyFill="1" applyBorder="1" applyAlignment="1" applyProtection="1">
      <alignment horizontal="center" vertical="center" wrapText="1"/>
    </xf>
    <xf numFmtId="0" fontId="11" fillId="0" borderId="0" xfId="2" applyFill="1" applyAlignment="1" applyProtection="1">
      <alignment horizontal="center" vertical="center"/>
    </xf>
    <xf numFmtId="0" fontId="11" fillId="0" borderId="12" xfId="2" applyBorder="1" applyAlignment="1" applyProtection="1">
      <alignment horizontal="center" vertical="center"/>
    </xf>
    <xf numFmtId="0" fontId="11" fillId="0" borderId="14" xfId="2" applyBorder="1" applyAlignment="1" applyProtection="1">
      <alignment horizontal="center" vertical="center" wrapText="1"/>
    </xf>
    <xf numFmtId="0" fontId="11" fillId="0" borderId="0" xfId="2" applyFill="1" applyAlignment="1" applyProtection="1">
      <alignment horizontal="right" vertical="top"/>
    </xf>
    <xf numFmtId="0" fontId="11" fillId="0" borderId="0" xfId="2" applyAlignment="1" applyProtection="1"/>
    <xf numFmtId="0" fontId="11" fillId="0" borderId="0" xfId="2" applyFill="1" applyAlignment="1" applyProtection="1"/>
    <xf numFmtId="2" fontId="3" fillId="0" borderId="0" xfId="4" applyNumberFormat="1"/>
    <xf numFmtId="0" fontId="11" fillId="0" borderId="0" xfId="2" applyBorder="1" applyAlignment="1" applyProtection="1">
      <alignment horizontal="right"/>
    </xf>
    <xf numFmtId="0" fontId="3" fillId="0" borderId="28" xfId="4" applyBorder="1"/>
    <xf numFmtId="0" fontId="11" fillId="0" borderId="2" xfId="2" applyFill="1" applyBorder="1" applyAlignment="1" applyProtection="1">
      <alignment horizontal="center"/>
    </xf>
    <xf numFmtId="0" fontId="20" fillId="0" borderId="42" xfId="4" applyFont="1" applyBorder="1"/>
    <xf numFmtId="0" fontId="4" fillId="0" borderId="44" xfId="4" applyFont="1" applyBorder="1"/>
    <xf numFmtId="0" fontId="3" fillId="0" borderId="0" xfId="4" applyAlignment="1">
      <alignment vertical="center" wrapText="1"/>
    </xf>
    <xf numFmtId="0" fontId="11" fillId="0" borderId="0" xfId="2" applyFill="1" applyBorder="1" applyAlignment="1" applyProtection="1">
      <alignment horizontal="center"/>
    </xf>
    <xf numFmtId="2" fontId="3" fillId="7" borderId="0" xfId="4" applyNumberFormat="1" applyFill="1" applyProtection="1">
      <protection locked="0"/>
    </xf>
    <xf numFmtId="0" fontId="3" fillId="0" borderId="0" xfId="4" applyAlignment="1">
      <alignment wrapText="1"/>
    </xf>
    <xf numFmtId="0" fontId="1" fillId="0" borderId="27" xfId="6" applyFont="1" applyBorder="1" applyAlignment="1">
      <alignment vertical="center"/>
    </xf>
    <xf numFmtId="4" fontId="3" fillId="2" borderId="0" xfId="4" applyNumberFormat="1" applyFill="1" applyProtection="1">
      <protection locked="0"/>
    </xf>
    <xf numFmtId="1" fontId="3" fillId="2" borderId="0" xfId="4" applyNumberFormat="1" applyFill="1" applyProtection="1">
      <protection locked="0"/>
    </xf>
    <xf numFmtId="2" fontId="3" fillId="2" borderId="0" xfId="4" applyNumberFormat="1" applyFill="1" applyProtection="1">
      <protection locked="0"/>
    </xf>
    <xf numFmtId="3" fontId="3" fillId="2" borderId="0" xfId="4" applyNumberFormat="1" applyFill="1" applyProtection="1">
      <protection locked="0"/>
    </xf>
    <xf numFmtId="0" fontId="24" fillId="0" borderId="0" xfId="2" applyFont="1" applyAlignment="1" applyProtection="1"/>
    <xf numFmtId="3" fontId="3" fillId="3" borderId="0" xfId="4" applyNumberFormat="1" applyFill="1" applyProtection="1">
      <protection locked="0"/>
    </xf>
    <xf numFmtId="3" fontId="3" fillId="0" borderId="0" xfId="4" applyNumberFormat="1" applyAlignment="1">
      <alignment horizontal="right"/>
    </xf>
    <xf numFmtId="0" fontId="11" fillId="0" borderId="19" xfId="2" applyFill="1" applyBorder="1" applyAlignment="1" applyProtection="1">
      <alignment horizontal="center" vertical="center"/>
    </xf>
    <xf numFmtId="3" fontId="3" fillId="0" borderId="31" xfId="4" applyNumberFormat="1" applyBorder="1" applyAlignment="1">
      <alignment shrinkToFit="1"/>
    </xf>
    <xf numFmtId="3" fontId="3" fillId="0" borderId="32" xfId="4" applyNumberFormat="1" applyBorder="1" applyAlignment="1">
      <alignment shrinkToFit="1"/>
    </xf>
    <xf numFmtId="0" fontId="11" fillId="0" borderId="0" xfId="2" applyFill="1" applyAlignment="1" applyProtection="1">
      <alignment horizontal="center"/>
    </xf>
    <xf numFmtId="3" fontId="3" fillId="0" borderId="2" xfId="4" applyNumberFormat="1" applyBorder="1" applyAlignment="1">
      <alignment shrinkToFit="1"/>
    </xf>
    <xf numFmtId="3" fontId="3" fillId="0" borderId="17" xfId="4" applyNumberFormat="1" applyBorder="1" applyAlignment="1">
      <alignment shrinkToFit="1"/>
    </xf>
    <xf numFmtId="0" fontId="11" fillId="0" borderId="2" xfId="2" applyFill="1" applyBorder="1" applyAlignment="1" applyProtection="1">
      <alignment horizontal="center" vertical="center"/>
    </xf>
    <xf numFmtId="0" fontId="3" fillId="0" borderId="0" xfId="4" applyAlignment="1" applyProtection="1">
      <alignment horizontal="left" vertical="top"/>
      <protection locked="0"/>
    </xf>
    <xf numFmtId="0" fontId="3" fillId="0" borderId="11" xfId="5" applyBorder="1" applyAlignment="1" applyProtection="1">
      <alignment horizontal="left" vertical="top"/>
      <protection locked="0"/>
    </xf>
    <xf numFmtId="0" fontId="3" fillId="0" borderId="12" xfId="5" applyBorder="1" applyAlignment="1" applyProtection="1">
      <alignment horizontal="left" vertical="top"/>
      <protection locked="0"/>
    </xf>
    <xf numFmtId="0" fontId="3" fillId="0" borderId="12" xfId="0" applyFont="1" applyBorder="1" applyAlignment="1" applyProtection="1">
      <alignment horizontal="left" vertical="top"/>
      <protection locked="0"/>
    </xf>
    <xf numFmtId="0" fontId="3" fillId="0" borderId="12" xfId="2" applyFont="1" applyBorder="1" applyAlignment="1" applyProtection="1">
      <alignment horizontal="left" vertical="top"/>
      <protection locked="0"/>
    </xf>
    <xf numFmtId="0" fontId="3" fillId="0" borderId="12" xfId="2" applyFont="1" applyFill="1" applyBorder="1" applyAlignment="1" applyProtection="1">
      <alignment horizontal="left" vertical="top"/>
      <protection locked="0"/>
    </xf>
    <xf numFmtId="0" fontId="3" fillId="0" borderId="12" xfId="0" applyFont="1" applyBorder="1" applyAlignment="1" applyProtection="1">
      <alignment horizontal="left" vertical="top" wrapText="1"/>
      <protection locked="0"/>
    </xf>
    <xf numFmtId="0" fontId="3" fillId="0" borderId="0" xfId="5" applyAlignment="1" applyProtection="1">
      <alignment horizontal="left" vertical="top"/>
      <protection locked="0"/>
    </xf>
    <xf numFmtId="0" fontId="3" fillId="0" borderId="0" xfId="4" quotePrefix="1"/>
    <xf numFmtId="3" fontId="3" fillId="9" borderId="0" xfId="4" applyNumberFormat="1" applyFill="1" applyProtection="1">
      <protection locked="0"/>
    </xf>
    <xf numFmtId="1" fontId="3" fillId="3" borderId="0" xfId="4" applyNumberFormat="1" applyFill="1" applyProtection="1">
      <protection locked="0"/>
    </xf>
    <xf numFmtId="2" fontId="3" fillId="7" borderId="0" xfId="4" applyNumberFormat="1" applyFill="1"/>
    <xf numFmtId="3" fontId="3" fillId="7" borderId="0" xfId="4" applyNumberFormat="1" applyFill="1"/>
    <xf numFmtId="166" fontId="3" fillId="0" borderId="0" xfId="4" applyNumberFormat="1"/>
    <xf numFmtId="3" fontId="4" fillId="0" borderId="0" xfId="0" applyNumberFormat="1" applyFont="1"/>
    <xf numFmtId="0" fontId="4" fillId="0" borderId="49" xfId="4" applyFont="1" applyBorder="1"/>
    <xf numFmtId="0" fontId="3" fillId="0" borderId="22" xfId="4" applyBorder="1"/>
    <xf numFmtId="3" fontId="3" fillId="0" borderId="14" xfId="0" applyNumberFormat="1" applyFont="1" applyBorder="1"/>
    <xf numFmtId="3" fontId="3" fillId="0" borderId="2" xfId="0" applyNumberFormat="1" applyFont="1" applyBorder="1"/>
    <xf numFmtId="0" fontId="4" fillId="0" borderId="53" xfId="4" applyFont="1" applyBorder="1"/>
    <xf numFmtId="3" fontId="3" fillId="0" borderId="19" xfId="4" applyNumberFormat="1" applyBorder="1"/>
    <xf numFmtId="3" fontId="3" fillId="0" borderId="19" xfId="0" applyNumberFormat="1" applyFont="1" applyBorder="1"/>
    <xf numFmtId="3" fontId="3" fillId="0" borderId="20" xfId="0" applyNumberFormat="1" applyFont="1" applyBorder="1"/>
    <xf numFmtId="0" fontId="3" fillId="0" borderId="21" xfId="4" applyBorder="1"/>
    <xf numFmtId="0" fontId="3" fillId="0" borderId="55" xfId="4" applyBorder="1"/>
    <xf numFmtId="0" fontId="4" fillId="0" borderId="58" xfId="4" applyFont="1" applyBorder="1"/>
    <xf numFmtId="3" fontId="3" fillId="0" borderId="59" xfId="4" applyNumberFormat="1" applyBorder="1"/>
    <xf numFmtId="3" fontId="3" fillId="0" borderId="59" xfId="0" applyNumberFormat="1" applyFont="1" applyBorder="1"/>
    <xf numFmtId="3" fontId="3" fillId="0" borderId="38" xfId="0" applyNumberFormat="1" applyFont="1" applyBorder="1"/>
    <xf numFmtId="3" fontId="4" fillId="0" borderId="60" xfId="4" applyNumberFormat="1" applyFont="1" applyBorder="1"/>
    <xf numFmtId="3" fontId="4" fillId="0" borderId="61" xfId="4" applyNumberFormat="1" applyFont="1" applyBorder="1"/>
    <xf numFmtId="0" fontId="4" fillId="0" borderId="46" xfId="0" applyFont="1" applyBorder="1"/>
    <xf numFmtId="0" fontId="4" fillId="0" borderId="46" xfId="4" applyFont="1" applyBorder="1"/>
    <xf numFmtId="0" fontId="4" fillId="0" borderId="62" xfId="0" applyFont="1" applyBorder="1"/>
    <xf numFmtId="3" fontId="3" fillId="0" borderId="46" xfId="0" applyNumberFormat="1" applyFont="1" applyBorder="1"/>
    <xf numFmtId="3" fontId="3" fillId="0" borderId="62" xfId="0" applyNumberFormat="1" applyFont="1" applyBorder="1"/>
    <xf numFmtId="0" fontId="4" fillId="0" borderId="48" xfId="4" applyFont="1" applyBorder="1"/>
    <xf numFmtId="3" fontId="3" fillId="0" borderId="13" xfId="4" applyNumberFormat="1" applyBorder="1"/>
    <xf numFmtId="3" fontId="3" fillId="0" borderId="13" xfId="0" applyNumberFormat="1" applyFont="1" applyBorder="1"/>
    <xf numFmtId="3" fontId="3" fillId="0" borderId="1" xfId="0" applyNumberFormat="1" applyFont="1" applyBorder="1"/>
    <xf numFmtId="3" fontId="3" fillId="0" borderId="14" xfId="4" applyNumberFormat="1" applyBorder="1" applyAlignment="1">
      <alignment horizontal="right"/>
    </xf>
    <xf numFmtId="3" fontId="3" fillId="0" borderId="2" xfId="4" applyNumberFormat="1" applyBorder="1" applyAlignment="1">
      <alignment horizontal="right"/>
    </xf>
    <xf numFmtId="3" fontId="3" fillId="0" borderId="59" xfId="4" applyNumberFormat="1" applyBorder="1" applyAlignment="1">
      <alignment horizontal="right"/>
    </xf>
    <xf numFmtId="3" fontId="3" fillId="0" borderId="38" xfId="4" applyNumberFormat="1" applyBorder="1" applyAlignment="1">
      <alignment horizontal="right"/>
    </xf>
    <xf numFmtId="3" fontId="4" fillId="0" borderId="63" xfId="4" applyNumberFormat="1" applyFont="1" applyBorder="1"/>
    <xf numFmtId="3" fontId="4" fillId="0" borderId="52" xfId="4" applyNumberFormat="1" applyFont="1" applyBorder="1"/>
    <xf numFmtId="3" fontId="3" fillId="0" borderId="19" xfId="4" applyNumberFormat="1" applyBorder="1" applyAlignment="1">
      <alignment horizontal="right"/>
    </xf>
    <xf numFmtId="3" fontId="3" fillId="0" borderId="20" xfId="4" applyNumberFormat="1" applyBorder="1" applyAlignment="1">
      <alignment horizontal="right"/>
    </xf>
    <xf numFmtId="3" fontId="3" fillId="0" borderId="47" xfId="4" applyNumberFormat="1" applyBorder="1"/>
    <xf numFmtId="3" fontId="3" fillId="0" borderId="47" xfId="0" applyNumberFormat="1" applyFont="1" applyBorder="1"/>
    <xf numFmtId="3" fontId="3" fillId="0" borderId="47" xfId="4" applyNumberFormat="1" applyBorder="1" applyAlignment="1">
      <alignment horizontal="right"/>
    </xf>
    <xf numFmtId="3" fontId="3" fillId="0" borderId="64" xfId="4" applyNumberFormat="1" applyBorder="1" applyAlignment="1">
      <alignment horizontal="right"/>
    </xf>
    <xf numFmtId="0" fontId="3" fillId="2" borderId="14" xfId="4" applyFill="1" applyBorder="1" applyProtection="1">
      <protection locked="0"/>
    </xf>
    <xf numFmtId="0" fontId="3" fillId="2" borderId="2" xfId="4" applyFill="1" applyBorder="1" applyProtection="1">
      <protection locked="0"/>
    </xf>
    <xf numFmtId="0" fontId="3" fillId="2" borderId="59" xfId="4" applyFill="1" applyBorder="1" applyProtection="1">
      <protection locked="0"/>
    </xf>
    <xf numFmtId="0" fontId="3" fillId="2" borderId="38" xfId="4" applyFill="1" applyBorder="1" applyProtection="1">
      <protection locked="0"/>
    </xf>
    <xf numFmtId="0" fontId="4" fillId="0" borderId="66" xfId="4" applyFont="1" applyBorder="1"/>
    <xf numFmtId="3" fontId="4" fillId="0" borderId="67" xfId="4" applyNumberFormat="1" applyFont="1" applyBorder="1"/>
    <xf numFmtId="0" fontId="3" fillId="7" borderId="2" xfId="5" applyFill="1" applyBorder="1" applyAlignment="1">
      <alignment vertical="top" wrapText="1"/>
    </xf>
    <xf numFmtId="0" fontId="3" fillId="0" borderId="2" xfId="0" applyFont="1" applyBorder="1" applyAlignment="1" applyProtection="1">
      <alignment horizontal="left" vertical="top" wrapText="1"/>
      <protection locked="0"/>
    </xf>
    <xf numFmtId="0" fontId="3" fillId="0" borderId="17" xfId="5" applyBorder="1" applyAlignment="1">
      <alignment vertical="top" wrapText="1"/>
    </xf>
    <xf numFmtId="0" fontId="3" fillId="0" borderId="15" xfId="5" applyBorder="1" applyAlignment="1" applyProtection="1">
      <alignment horizontal="left" vertical="top"/>
      <protection locked="0"/>
    </xf>
    <xf numFmtId="0" fontId="13" fillId="10" borderId="13" xfId="4" applyFont="1" applyFill="1" applyBorder="1" applyAlignment="1">
      <alignment vertical="center" wrapText="1"/>
    </xf>
    <xf numFmtId="0" fontId="3" fillId="9" borderId="0" xfId="4" applyFill="1" applyProtection="1">
      <protection locked="0"/>
    </xf>
    <xf numFmtId="0" fontId="3" fillId="3" borderId="0" xfId="4" applyFill="1" applyProtection="1">
      <protection locked="0"/>
    </xf>
    <xf numFmtId="0" fontId="1" fillId="0" borderId="24" xfId="6" applyFont="1" applyBorder="1" applyAlignment="1">
      <alignment vertical="center"/>
    </xf>
    <xf numFmtId="0" fontId="1" fillId="0" borderId="25" xfId="6" applyFont="1" applyBorder="1" applyAlignment="1">
      <alignment vertical="center"/>
    </xf>
    <xf numFmtId="0" fontId="1" fillId="0" borderId="26" xfId="6" applyFont="1" applyBorder="1" applyAlignment="1">
      <alignment vertical="center"/>
    </xf>
    <xf numFmtId="0" fontId="1" fillId="0" borderId="0" xfId="0" applyFont="1"/>
    <xf numFmtId="0" fontId="1" fillId="6" borderId="0" xfId="0" applyFont="1" applyFill="1"/>
    <xf numFmtId="0" fontId="1" fillId="0" borderId="35" xfId="0" applyFont="1" applyBorder="1" applyAlignment="1">
      <alignment vertical="top"/>
    </xf>
    <xf numFmtId="0" fontId="1" fillId="0" borderId="35" xfId="0" applyFont="1" applyBorder="1" applyAlignment="1">
      <alignment vertical="top" wrapText="1"/>
    </xf>
    <xf numFmtId="0" fontId="1" fillId="0" borderId="0" xfId="0" applyFont="1" applyAlignment="1">
      <alignment vertical="top"/>
    </xf>
    <xf numFmtId="49" fontId="1" fillId="0" borderId="0" xfId="0" applyNumberFormat="1" applyFont="1" applyAlignment="1">
      <alignment horizontal="left" vertical="top"/>
    </xf>
    <xf numFmtId="49" fontId="1" fillId="0" borderId="37" xfId="0" applyNumberFormat="1" applyFont="1" applyBorder="1" applyAlignment="1">
      <alignment horizontal="left" vertical="top"/>
    </xf>
    <xf numFmtId="0" fontId="1" fillId="0" borderId="37" xfId="0" applyFont="1" applyBorder="1" applyAlignment="1">
      <alignment vertical="top"/>
    </xf>
    <xf numFmtId="0" fontId="1" fillId="0" borderId="0" xfId="6" applyFont="1" applyAlignment="1">
      <alignment vertical="center"/>
    </xf>
    <xf numFmtId="0" fontId="1" fillId="0" borderId="0" xfId="6" applyFont="1" applyAlignment="1">
      <alignment horizontal="right" vertical="center"/>
    </xf>
    <xf numFmtId="0" fontId="1" fillId="8" borderId="25" xfId="6" applyFont="1" applyFill="1" applyBorder="1" applyAlignment="1" applyProtection="1">
      <alignment horizontal="center" vertical="center"/>
      <protection locked="0"/>
    </xf>
    <xf numFmtId="0" fontId="1" fillId="0" borderId="0" xfId="0" applyFont="1" applyAlignment="1">
      <alignment horizontal="right" vertical="center"/>
    </xf>
    <xf numFmtId="0" fontId="1" fillId="8" borderId="25" xfId="6" applyFont="1" applyFill="1" applyBorder="1" applyAlignment="1" applyProtection="1">
      <alignment vertical="center"/>
      <protection locked="0"/>
    </xf>
    <xf numFmtId="3" fontId="1" fillId="2" borderId="25" xfId="7" applyNumberFormat="1" applyFont="1" applyFill="1" applyBorder="1" applyAlignment="1" applyProtection="1">
      <alignment vertical="center"/>
      <protection locked="0"/>
    </xf>
    <xf numFmtId="9" fontId="1" fillId="2" borderId="27" xfId="3" applyFont="1" applyFill="1" applyBorder="1" applyAlignment="1" applyProtection="1">
      <alignment vertical="center"/>
      <protection locked="0"/>
    </xf>
    <xf numFmtId="169" fontId="1" fillId="2" borderId="25" xfId="6" applyNumberFormat="1" applyFont="1" applyFill="1" applyBorder="1" applyAlignment="1" applyProtection="1">
      <alignment vertical="center"/>
      <protection locked="0"/>
    </xf>
    <xf numFmtId="0" fontId="1" fillId="2" borderId="25" xfId="6" applyFont="1" applyFill="1" applyBorder="1" applyAlignment="1" applyProtection="1">
      <alignment vertical="center"/>
      <protection locked="0"/>
    </xf>
    <xf numFmtId="0" fontId="1" fillId="2" borderId="27" xfId="6" applyFont="1" applyFill="1" applyBorder="1" applyAlignment="1" applyProtection="1">
      <alignment vertical="center"/>
      <protection locked="0"/>
    </xf>
    <xf numFmtId="41" fontId="1" fillId="2" borderId="25" xfId="7" applyFont="1" applyFill="1" applyBorder="1" applyAlignment="1" applyProtection="1">
      <alignment vertical="center"/>
      <protection locked="0"/>
    </xf>
    <xf numFmtId="41" fontId="1" fillId="0" borderId="25" xfId="6" applyNumberFormat="1" applyFont="1" applyBorder="1" applyAlignment="1">
      <alignment vertical="center"/>
    </xf>
    <xf numFmtId="41" fontId="1" fillId="9" borderId="25" xfId="6" applyNumberFormat="1" applyFont="1" applyFill="1" applyBorder="1" applyAlignment="1" applyProtection="1">
      <alignment vertical="center"/>
      <protection locked="0"/>
    </xf>
    <xf numFmtId="0" fontId="1" fillId="0" borderId="0" xfId="0" applyFont="1" applyAlignment="1">
      <alignment horizontal="right"/>
    </xf>
    <xf numFmtId="3" fontId="1" fillId="0" borderId="0" xfId="0" applyNumberFormat="1" applyFont="1"/>
    <xf numFmtId="0" fontId="1" fillId="0" borderId="0" xfId="0" applyFont="1" applyAlignment="1">
      <alignment horizontal="left"/>
    </xf>
    <xf numFmtId="0" fontId="1" fillId="6" borderId="35" xfId="0" applyFont="1" applyFill="1" applyBorder="1" applyAlignment="1" applyProtection="1">
      <alignment vertical="top"/>
      <protection locked="0"/>
    </xf>
    <xf numFmtId="3" fontId="1" fillId="6" borderId="35" xfId="0" applyNumberFormat="1" applyFont="1" applyFill="1" applyBorder="1" applyAlignment="1" applyProtection="1">
      <alignment vertical="top"/>
      <protection locked="0"/>
    </xf>
    <xf numFmtId="0" fontId="1" fillId="0" borderId="0" xfId="0" applyFont="1" applyAlignment="1">
      <alignment vertical="top" wrapText="1"/>
    </xf>
    <xf numFmtId="3" fontId="1" fillId="7" borderId="35" xfId="0" applyNumberFormat="1" applyFont="1" applyFill="1" applyBorder="1" applyAlignment="1" applyProtection="1">
      <alignment vertical="top"/>
      <protection hidden="1"/>
    </xf>
    <xf numFmtId="3" fontId="1" fillId="0" borderId="36" xfId="0" applyNumberFormat="1" applyFont="1" applyBorder="1" applyAlignment="1">
      <alignment vertical="top"/>
    </xf>
    <xf numFmtId="3" fontId="1" fillId="0" borderId="0" xfId="0" applyNumberFormat="1" applyFont="1" applyAlignment="1">
      <alignment vertical="top"/>
    </xf>
    <xf numFmtId="3" fontId="1" fillId="0" borderId="35" xfId="0" applyNumberFormat="1" applyFont="1" applyBorder="1"/>
    <xf numFmtId="0" fontId="3" fillId="0" borderId="2" xfId="0" applyFont="1" applyBorder="1" applyAlignment="1">
      <alignment vertical="top" wrapText="1"/>
    </xf>
    <xf numFmtId="0" fontId="3" fillId="0" borderId="2" xfId="2" applyFont="1" applyFill="1" applyBorder="1" applyAlignment="1" applyProtection="1">
      <alignment horizontal="left" vertical="top" wrapText="1"/>
      <protection locked="0"/>
    </xf>
    <xf numFmtId="0" fontId="3" fillId="0" borderId="0" xfId="5"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172" fontId="13" fillId="0" borderId="0" xfId="4" applyNumberFormat="1" applyFont="1"/>
    <xf numFmtId="172" fontId="13" fillId="0" borderId="0" xfId="3" applyNumberFormat="1" applyFont="1" applyFill="1" applyProtection="1"/>
    <xf numFmtId="0" fontId="13" fillId="0" borderId="0" xfId="0" applyFont="1"/>
    <xf numFmtId="0" fontId="3" fillId="0" borderId="27" xfId="6" applyFont="1" applyBorder="1" applyAlignment="1">
      <alignment vertical="center"/>
    </xf>
    <xf numFmtId="0" fontId="3" fillId="0" borderId="25" xfId="6" applyFont="1" applyBorder="1" applyAlignment="1">
      <alignment vertical="center"/>
    </xf>
    <xf numFmtId="0" fontId="3" fillId="0" borderId="43" xfId="4" applyBorder="1"/>
    <xf numFmtId="0" fontId="4" fillId="0" borderId="39" xfId="4" applyFont="1" applyBorder="1" applyAlignment="1">
      <alignment vertical="center" wrapText="1"/>
    </xf>
    <xf numFmtId="0" fontId="3" fillId="0" borderId="28" xfId="4" applyBorder="1" applyAlignment="1">
      <alignment wrapText="1"/>
    </xf>
    <xf numFmtId="0" fontId="3" fillId="0" borderId="51" xfId="4" applyBorder="1"/>
    <xf numFmtId="0" fontId="3" fillId="0" borderId="22" xfId="4" applyBorder="1" applyAlignment="1">
      <alignment wrapText="1"/>
    </xf>
    <xf numFmtId="0" fontId="3" fillId="0" borderId="54" xfId="4" applyBorder="1"/>
    <xf numFmtId="0" fontId="4" fillId="0" borderId="57" xfId="4" applyFont="1" applyBorder="1"/>
    <xf numFmtId="0" fontId="4" fillId="0" borderId="50" xfId="4" applyFont="1" applyBorder="1"/>
    <xf numFmtId="0" fontId="4" fillId="0" borderId="56" xfId="4" applyFont="1" applyBorder="1"/>
    <xf numFmtId="0" fontId="3" fillId="0" borderId="49" xfId="4" applyBorder="1"/>
    <xf numFmtId="0" fontId="3" fillId="0" borderId="53" xfId="4" applyBorder="1"/>
    <xf numFmtId="0" fontId="3" fillId="0" borderId="58" xfId="4" applyBorder="1"/>
    <xf numFmtId="0" fontId="4" fillId="0" borderId="65" xfId="4" applyFont="1" applyBorder="1"/>
    <xf numFmtId="0" fontId="3" fillId="0" borderId="66" xfId="4" applyBorder="1"/>
    <xf numFmtId="0" fontId="16" fillId="0" borderId="0" xfId="4" applyFont="1"/>
    <xf numFmtId="0" fontId="16" fillId="0" borderId="0" xfId="4" applyFont="1" applyAlignment="1">
      <alignment vertical="top"/>
    </xf>
    <xf numFmtId="0" fontId="26" fillId="0" borderId="0" xfId="4" applyFont="1"/>
    <xf numFmtId="0" fontId="23" fillId="0" borderId="0" xfId="4" applyFont="1" applyAlignment="1">
      <alignment vertical="top" wrapText="1"/>
    </xf>
    <xf numFmtId="0" fontId="3" fillId="0" borderId="0" xfId="4" applyAlignment="1">
      <alignment horizontal="left" vertical="top" wrapText="1"/>
    </xf>
    <xf numFmtId="0" fontId="4" fillId="0" borderId="0" xfId="4" applyFont="1" applyAlignment="1">
      <alignment horizontal="left"/>
    </xf>
    <xf numFmtId="0" fontId="3" fillId="0" borderId="0" xfId="4" applyAlignment="1">
      <alignment horizontal="left"/>
    </xf>
    <xf numFmtId="0" fontId="3" fillId="2" borderId="0" xfId="4" applyFill="1"/>
    <xf numFmtId="0" fontId="3" fillId="9" borderId="0" xfId="4" applyFill="1"/>
    <xf numFmtId="0" fontId="20" fillId="0" borderId="0" xfId="4" applyFont="1"/>
    <xf numFmtId="0" fontId="3" fillId="0" borderId="0" xfId="4" applyAlignment="1">
      <alignment horizontal="right"/>
    </xf>
    <xf numFmtId="0" fontId="4" fillId="0" borderId="0" xfId="4" applyFont="1" applyAlignment="1">
      <alignment horizontal="right"/>
    </xf>
    <xf numFmtId="0" fontId="3" fillId="0" borderId="0" xfId="4" applyAlignment="1">
      <alignment horizontal="left" vertical="top" wrapText="1"/>
    </xf>
    <xf numFmtId="0" fontId="3" fillId="3" borderId="0" xfId="4" applyFill="1" applyAlignment="1" applyProtection="1">
      <alignment horizontal="left" vertical="top" wrapText="1"/>
      <protection locked="0"/>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cellXfs>
  <cellStyles count="9">
    <cellStyle name="Dezimal [0]" xfId="7" builtinId="6"/>
    <cellStyle name="Dezimal [0] 2" xfId="8" xr:uid="{A20A54E0-DEC7-46A0-9E7A-21C534D0AF8D}"/>
    <cellStyle name="Euro" xfId="1" xr:uid="{00000000-0005-0000-0000-000001000000}"/>
    <cellStyle name="Link" xfId="2" builtinId="8" customBuiltin="1"/>
    <cellStyle name="Prozent" xfId="3" builtinId="5"/>
    <cellStyle name="Standard" xfId="0" builtinId="0"/>
    <cellStyle name="Standard 2" xfId="6" xr:uid="{00000000-0005-0000-0000-000006000000}"/>
    <cellStyle name="Standard_2008-03_Grundpreis_Messpreis_Arbeitspreis" xfId="4" xr:uid="{00000000-0005-0000-0000-000007000000}"/>
    <cellStyle name="Standard_Betriebsbericht_Vorlage_V05_080211" xfId="5" xr:uid="{00000000-0005-0000-0000-000008000000}"/>
  </cellStyles>
  <dxfs count="23">
    <dxf>
      <font>
        <color theme="0"/>
      </font>
      <fill>
        <patternFill>
          <bgColor theme="0"/>
        </patternFill>
      </fill>
    </dxf>
    <dxf>
      <fill>
        <patternFill>
          <bgColor rgb="FFFFFF99"/>
        </patternFill>
      </fill>
    </dxf>
    <dxf>
      <fill>
        <patternFill>
          <bgColor rgb="FFFF0000"/>
        </patternFill>
      </fill>
    </dxf>
    <dxf>
      <fill>
        <patternFill>
          <bgColor rgb="FFFF0000"/>
        </patternFill>
      </fill>
    </dxf>
    <dxf>
      <fill>
        <patternFill>
          <bgColor rgb="FFFF0000"/>
        </patternFill>
      </fill>
    </dxf>
    <dxf>
      <font>
        <color auto="1"/>
      </font>
      <fill>
        <patternFill>
          <bgColor rgb="FF92D050"/>
        </patternFill>
      </fill>
    </dxf>
    <dxf>
      <font>
        <color theme="0"/>
      </font>
    </dxf>
    <dxf>
      <fill>
        <patternFill>
          <bgColor rgb="FFFF0000"/>
        </patternFill>
      </fill>
    </dxf>
    <dxf>
      <font>
        <color rgb="FFFF0000"/>
      </font>
      <border>
        <left style="thin">
          <color rgb="FFFF0000"/>
        </left>
        <right style="thin">
          <color rgb="FFFF0000"/>
        </right>
        <top style="thin">
          <color rgb="FFFF0000"/>
        </top>
        <bottom style="thin">
          <color rgb="FFFF000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
      <font>
        <b/>
        <i val="0"/>
      </font>
      <fill>
        <patternFill>
          <bgColor theme="6" tint="0.39994506668294322"/>
        </patternFill>
      </fill>
      <border>
        <left style="thin">
          <color rgb="FF00B0F0"/>
        </left>
        <right style="thin">
          <color rgb="FF00B0F0"/>
        </right>
        <top style="thin">
          <color rgb="FF00B0F0"/>
        </top>
        <bottom style="thin">
          <color rgb="FF00B0F0"/>
        </bottom>
        <vertical/>
        <horizontal/>
      </border>
    </dxf>
  </dxfs>
  <tableStyles count="0" defaultTableStyle="TableStyleMedium9" defaultPivotStyle="PivotStyleLight16"/>
  <colors>
    <mruColors>
      <color rgb="FFFFFF66"/>
      <color rgb="FFB24CFF"/>
      <color rgb="FFEBB3FF"/>
      <color rgb="FFD5001C"/>
      <color rgb="FFD8E4BC"/>
      <color rgb="FFFFFF99"/>
      <color rgb="FFFFFFCC"/>
      <color rgb="FFF5D9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eetMetadata" Target="metadata.xml"/><Relationship Id="rId17" Type="http://schemas.microsoft.com/office/2017/10/relationships/person" Target="persons/perso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de-DE" sz="1400" b="1" i="0" u="none" strike="noStrike" kern="1200" baseline="0">
                <a:solidFill>
                  <a:srgbClr val="000000"/>
                </a:solidFill>
                <a:effectLst/>
                <a:ea typeface="Arial"/>
                <a:cs typeface="Arial"/>
              </a:rPr>
              <a:t>État du crédit / Évolution de la valeur résiduelle</a:t>
            </a:r>
            <a:endParaRPr lang="de-CH" sz="1100" b="1" i="0" u="none" strike="noStrike" kern="1200" baseline="0">
              <a:solidFill>
                <a:srgbClr val="000000"/>
              </a:solidFill>
              <a:effectLst/>
              <a:ea typeface="Arial"/>
              <a:cs typeface="Arial"/>
            </a:endParaRPr>
          </a:p>
        </c:rich>
      </c:tx>
      <c:layout>
        <c:manualLayout>
          <c:xMode val="edge"/>
          <c:yMode val="edge"/>
          <c:x val="0.34179708005249299"/>
          <c:y val="2.8333333333333301E-2"/>
        </c:manualLayout>
      </c:layout>
      <c:overlay val="0"/>
      <c:spPr>
        <a:noFill/>
        <a:ln w="25400">
          <a:noFill/>
        </a:ln>
      </c:spPr>
    </c:title>
    <c:autoTitleDeleted val="0"/>
    <c:plotArea>
      <c:layout>
        <c:manualLayout>
          <c:layoutTarget val="inner"/>
          <c:xMode val="edge"/>
          <c:yMode val="edge"/>
          <c:x val="0.11820819217112327"/>
          <c:y val="0.12414660354729856"/>
          <c:w val="0.8546034466382787"/>
          <c:h val="0.72164912695634031"/>
        </c:manualLayout>
      </c:layout>
      <c:areaChart>
        <c:grouping val="standard"/>
        <c:varyColors val="0"/>
        <c:ser>
          <c:idx val="0"/>
          <c:order val="0"/>
          <c:tx>
            <c:strRef>
              <c:f>B1_Calculs!$AR$41</c:f>
              <c:strCache>
                <c:ptCount val="1"/>
                <c:pt idx="0">
                  <c:v>Solde du crédit</c:v>
                </c:pt>
              </c:strCache>
            </c:strRef>
          </c:tx>
          <c:spPr>
            <a:solidFill>
              <a:schemeClr val="accent1">
                <a:lumMod val="60000"/>
                <a:lumOff val="40000"/>
              </a:schemeClr>
            </a:solidFill>
            <a:ln w="12700">
              <a:solidFill>
                <a:schemeClr val="accent1"/>
              </a:solidFill>
              <a:prstDash val="solid"/>
            </a:ln>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B1_Calculs!$AR$44:$AR$68</c:f>
              <c:numCache>
                <c:formatCode>#,##0</c:formatCode>
                <c:ptCount val="25"/>
                <c:pt idx="0">
                  <c:v>-418000</c:v>
                </c:pt>
                <c:pt idx="1">
                  <c:v>-1350000</c:v>
                </c:pt>
                <c:pt idx="2">
                  <c:v>-1305263.1578947369</c:v>
                </c:pt>
                <c:pt idx="3">
                  <c:v>-1260526.3157894737</c:v>
                </c:pt>
                <c:pt idx="4">
                  <c:v>-1215789.4736842106</c:v>
                </c:pt>
                <c:pt idx="5">
                  <c:v>-1171052.6315789474</c:v>
                </c:pt>
                <c:pt idx="6">
                  <c:v>-1126315.7894736843</c:v>
                </c:pt>
                <c:pt idx="7">
                  <c:v>-1081578.9473684211</c:v>
                </c:pt>
                <c:pt idx="8">
                  <c:v>-1036842.105263158</c:v>
                </c:pt>
                <c:pt idx="9">
                  <c:v>-992105.26315789483</c:v>
                </c:pt>
                <c:pt idx="10">
                  <c:v>-947368.42105263169</c:v>
                </c:pt>
                <c:pt idx="11">
                  <c:v>-902631.57894736854</c:v>
                </c:pt>
                <c:pt idx="12">
                  <c:v>-857894.7368421054</c:v>
                </c:pt>
                <c:pt idx="13">
                  <c:v>-813157.89473684225</c:v>
                </c:pt>
                <c:pt idx="14">
                  <c:v>-768421.05263157911</c:v>
                </c:pt>
                <c:pt idx="15">
                  <c:v>-723684.21052631596</c:v>
                </c:pt>
                <c:pt idx="16">
                  <c:v>-678947.36842105282</c:v>
                </c:pt>
                <c:pt idx="17">
                  <c:v>-634210.52631578967</c:v>
                </c:pt>
                <c:pt idx="18">
                  <c:v>-589473.68421052652</c:v>
                </c:pt>
                <c:pt idx="19">
                  <c:v>-544736.84210526338</c:v>
                </c:pt>
                <c:pt idx="20">
                  <c:v>-500000.00000000017</c:v>
                </c:pt>
                <c:pt idx="21">
                  <c:v>-500000.00000000017</c:v>
                </c:pt>
                <c:pt idx="22">
                  <c:v>-500000.00000000017</c:v>
                </c:pt>
                <c:pt idx="23">
                  <c:v>-500000.00000000017</c:v>
                </c:pt>
                <c:pt idx="24">
                  <c:v>-500000.00000000017</c:v>
                </c:pt>
              </c:numCache>
            </c:numRef>
          </c:val>
          <c:extLst>
            <c:ext xmlns:c16="http://schemas.microsoft.com/office/drawing/2014/chart" uri="{C3380CC4-5D6E-409C-BE32-E72D297353CC}">
              <c16:uniqueId val="{00000004-398E-4E97-8B6C-8D1801B22DF1}"/>
            </c:ext>
          </c:extLst>
        </c:ser>
        <c:ser>
          <c:idx val="5"/>
          <c:order val="1"/>
          <c:tx>
            <c:strRef>
              <c:f>B1_Calculs!$AQ$41</c:f>
              <c:strCache>
                <c:ptCount val="1"/>
                <c:pt idx="0">
                  <c:v>Valeur résiduelle des installations</c:v>
                </c:pt>
              </c:strCache>
            </c:strRef>
          </c:tx>
          <c:spPr>
            <a:solidFill>
              <a:schemeClr val="accent6">
                <a:lumMod val="40000"/>
                <a:lumOff val="60000"/>
              </a:schemeClr>
            </a:solidFill>
            <a:ln w="12700">
              <a:solidFill>
                <a:schemeClr val="accent6"/>
              </a:solidFill>
            </a:ln>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B1_Calculs!$AQ$44:$AQ$68</c:f>
              <c:numCache>
                <c:formatCode>#,##0</c:formatCode>
                <c:ptCount val="25"/>
                <c:pt idx="0">
                  <c:v>723000</c:v>
                </c:pt>
                <c:pt idx="1">
                  <c:v>1687000</c:v>
                </c:pt>
                <c:pt idx="2">
                  <c:v>1847193.9646615048</c:v>
                </c:pt>
                <c:pt idx="3">
                  <c:v>1766387.9293230097</c:v>
                </c:pt>
                <c:pt idx="4">
                  <c:v>1685581.8939845145</c:v>
                </c:pt>
                <c:pt idx="5">
                  <c:v>1604775.8586460194</c:v>
                </c:pt>
                <c:pt idx="6">
                  <c:v>1985768.3144729005</c:v>
                </c:pt>
                <c:pt idx="7">
                  <c:v>1884760.7702997816</c:v>
                </c:pt>
                <c:pt idx="8">
                  <c:v>1783753.2261266627</c:v>
                </c:pt>
                <c:pt idx="9">
                  <c:v>1682745.6819535438</c:v>
                </c:pt>
                <c:pt idx="10">
                  <c:v>1581738.1377804249</c:v>
                </c:pt>
                <c:pt idx="11">
                  <c:v>1480730.593607306</c:v>
                </c:pt>
                <c:pt idx="12">
                  <c:v>1379723.0494341871</c:v>
                </c:pt>
                <c:pt idx="13">
                  <c:v>1278715.5052610682</c:v>
                </c:pt>
                <c:pt idx="14">
                  <c:v>1177707.9610879493</c:v>
                </c:pt>
                <c:pt idx="15">
                  <c:v>1076700.4169148304</c:v>
                </c:pt>
                <c:pt idx="16">
                  <c:v>975692.87274171156</c:v>
                </c:pt>
                <c:pt idx="17">
                  <c:v>932197.21315252595</c:v>
                </c:pt>
                <c:pt idx="18">
                  <c:v>830653.10579484038</c:v>
                </c:pt>
                <c:pt idx="19">
                  <c:v>729108.99843715481</c:v>
                </c:pt>
                <c:pt idx="20">
                  <c:v>627564.89107946923</c:v>
                </c:pt>
                <c:pt idx="21">
                  <c:v>526020.78372178366</c:v>
                </c:pt>
                <c:pt idx="22">
                  <c:v>1761991.0983706922</c:v>
                </c:pt>
                <c:pt idx="23">
                  <c:v>1643550.4686773573</c:v>
                </c:pt>
                <c:pt idx="24">
                  <c:v>1525109.8389840224</c:v>
                </c:pt>
              </c:numCache>
            </c:numRef>
          </c:val>
          <c:extLst>
            <c:ext xmlns:c16="http://schemas.microsoft.com/office/drawing/2014/chart" uri="{C3380CC4-5D6E-409C-BE32-E72D297353CC}">
              <c16:uniqueId val="{00000005-398E-4E97-8B6C-8D1801B22DF1}"/>
            </c:ext>
          </c:extLst>
        </c:ser>
        <c:dLbls>
          <c:showLegendKey val="0"/>
          <c:showVal val="0"/>
          <c:showCatName val="0"/>
          <c:showSerName val="0"/>
          <c:showPercent val="0"/>
          <c:showBubbleSize val="0"/>
        </c:dLbls>
        <c:axId val="363559576"/>
        <c:axId val="363561144"/>
      </c:areaChart>
      <c:lineChart>
        <c:grouping val="standard"/>
        <c:varyColors val="0"/>
        <c:dLbls>
          <c:showLegendKey val="0"/>
          <c:showVal val="0"/>
          <c:showCatName val="0"/>
          <c:showSerName val="0"/>
          <c:showPercent val="0"/>
          <c:showBubbleSize val="0"/>
        </c:dLbls>
        <c:marker val="1"/>
        <c:smooth val="0"/>
        <c:axId val="363559576"/>
        <c:axId val="363561144"/>
        <c:extLst>
          <c:ext xmlns:c15="http://schemas.microsoft.com/office/drawing/2012/chart" uri="{02D57815-91ED-43cb-92C2-25804820EDAC}">
            <c15:filteredLineSeries>
              <c15:ser>
                <c:idx val="1"/>
                <c:order val="2"/>
                <c:tx>
                  <c:strRef>
                    <c:extLst>
                      <c:ext uri="{02D57815-91ED-43cb-92C2-25804820EDAC}">
                        <c15:formulaRef>
                          <c15:sqref>B1_Calculs!$AK$41</c15:sqref>
                        </c15:formulaRef>
                      </c:ext>
                    </c:extLst>
                    <c:strCache>
                      <c:ptCount val="1"/>
                      <c:pt idx="0">
                        <c:v>Cashflow</c:v>
                      </c:pt>
                    </c:strCache>
                  </c:strRef>
                </c:tx>
                <c:spPr>
                  <a:ln>
                    <a:solidFill>
                      <a:schemeClr val="accent2"/>
                    </a:solidFill>
                  </a:ln>
                </c:spPr>
                <c:marker>
                  <c:symbol val="none"/>
                </c:marker>
                <c:cat>
                  <c:numRef>
                    <c:extLst>
                      <c:ex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B1_Calculs!$AK$44:$AK$68</c15:sqref>
                        </c15:formulaRef>
                      </c:ext>
                    </c:extLst>
                    <c:numCache>
                      <c:formatCode>#,##0</c:formatCode>
                      <c:ptCount val="25"/>
                      <c:pt idx="0">
                        <c:v>-40870</c:v>
                      </c:pt>
                      <c:pt idx="1">
                        <c:v>-87513.827710526311</c:v>
                      </c:pt>
                      <c:pt idx="2">
                        <c:v>-48077.518705266732</c:v>
                      </c:pt>
                      <c:pt idx="3">
                        <c:v>24993.15380974405</c:v>
                      </c:pt>
                      <c:pt idx="4">
                        <c:v>54091.229536867468</c:v>
                      </c:pt>
                      <c:pt idx="5">
                        <c:v>55921.045610297762</c:v>
                      </c:pt>
                      <c:pt idx="6">
                        <c:v>41429.637906262185</c:v>
                      </c:pt>
                      <c:pt idx="7">
                        <c:v>43106.154011569743</c:v>
                      </c:pt>
                      <c:pt idx="8">
                        <c:v>52000.135061123408</c:v>
                      </c:pt>
                      <c:pt idx="9">
                        <c:v>60995.65600874956</c:v>
                      </c:pt>
                      <c:pt idx="10">
                        <c:v>62781.612492951564</c:v>
                      </c:pt>
                      <c:pt idx="11">
                        <c:v>64572.091099897923</c:v>
                      </c:pt>
                      <c:pt idx="12">
                        <c:v>66367.137042455084</c:v>
                      </c:pt>
                      <c:pt idx="13">
                        <c:v>68166.795985618781</c:v>
                      </c:pt>
                      <c:pt idx="14">
                        <c:v>69971.114051035838</c:v>
                      </c:pt>
                      <c:pt idx="15">
                        <c:v>71780.137821570097</c:v>
                      </c:pt>
                      <c:pt idx="16">
                        <c:v>73593.914345915255</c:v>
                      </c:pt>
                      <c:pt idx="17">
                        <c:v>75412.491143252235</c:v>
                      </c:pt>
                      <c:pt idx="18">
                        <c:v>77235.916207955277</c:v>
                      </c:pt>
                      <c:pt idx="19">
                        <c:v>79064.238014342613</c:v>
                      </c:pt>
                      <c:pt idx="20">
                        <c:v>80897.505521476734</c:v>
                      </c:pt>
                      <c:pt idx="21">
                        <c:v>126130.50502011686</c:v>
                      </c:pt>
                      <c:pt idx="22">
                        <c:v>126631.70750603586</c:v>
                      </c:pt>
                      <c:pt idx="23">
                        <c:v>127138.00552707055</c:v>
                      </c:pt>
                      <c:pt idx="24">
                        <c:v>127649.45003022091</c:v>
                      </c:pt>
                    </c:numCache>
                  </c:numRef>
                </c:val>
                <c:smooth val="0"/>
                <c:extLst>
                  <c:ext xmlns:c16="http://schemas.microsoft.com/office/drawing/2014/chart" uri="{C3380CC4-5D6E-409C-BE32-E72D297353CC}">
                    <c16:uniqueId val="{00000000-9329-4FF6-9123-398DE74F45F2}"/>
                  </c:ext>
                </c:extLst>
              </c15:ser>
            </c15:filteredLineSeries>
            <c15:filteredLineSeries>
              <c15:ser>
                <c:idx val="2"/>
                <c:order val="3"/>
                <c:tx>
                  <c:strRef>
                    <c:extLst xmlns:c15="http://schemas.microsoft.com/office/drawing/2012/chart">
                      <c:ext xmlns:c15="http://schemas.microsoft.com/office/drawing/2012/chart" uri="{02D57815-91ED-43cb-92C2-25804820EDAC}">
                        <c15:formulaRef>
                          <c15:sqref>B1_Calculs!$AL$41</c15:sqref>
                        </c15:formulaRef>
                      </c:ext>
                    </c:extLst>
                    <c:strCache>
                      <c:ptCount val="1"/>
                      <c:pt idx="0">
                        <c:v>Cash-flow cumulé</c:v>
                      </c:pt>
                    </c:strCache>
                  </c:strRef>
                </c:tx>
                <c:spPr>
                  <a:ln>
                    <a:solidFill>
                      <a:schemeClr val="accent2"/>
                    </a:solidFill>
                  </a:ln>
                </c:spPr>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B1_Calculs!$AL$44:$AL$68</c15:sqref>
                        </c15:formulaRef>
                      </c:ext>
                    </c:extLst>
                    <c:numCache>
                      <c:formatCode>#,##0</c:formatCode>
                      <c:ptCount val="25"/>
                      <c:pt idx="0">
                        <c:v>-40870</c:v>
                      </c:pt>
                      <c:pt idx="1">
                        <c:v>-128383.82771052631</c:v>
                      </c:pt>
                      <c:pt idx="2">
                        <c:v>-176461.34641579306</c:v>
                      </c:pt>
                      <c:pt idx="3">
                        <c:v>-151468.19260604901</c:v>
                      </c:pt>
                      <c:pt idx="4">
                        <c:v>-97376.96306918154</c:v>
                      </c:pt>
                      <c:pt idx="5">
                        <c:v>-41455.917458883778</c:v>
                      </c:pt>
                      <c:pt idx="6">
                        <c:v>-26.279552621592302</c:v>
                      </c:pt>
                      <c:pt idx="7">
                        <c:v>43079.87445894815</c:v>
                      </c:pt>
                      <c:pt idx="8">
                        <c:v>95080.009520071559</c:v>
                      </c:pt>
                      <c:pt idx="9">
                        <c:v>156075.66552882112</c:v>
                      </c:pt>
                      <c:pt idx="10">
                        <c:v>218857.27802177268</c:v>
                      </c:pt>
                      <c:pt idx="11">
                        <c:v>283429.36912167061</c:v>
                      </c:pt>
                      <c:pt idx="12">
                        <c:v>349796.50616412569</c:v>
                      </c:pt>
                      <c:pt idx="13">
                        <c:v>417963.30214974447</c:v>
                      </c:pt>
                      <c:pt idx="14">
                        <c:v>487934.41620078031</c:v>
                      </c:pt>
                      <c:pt idx="15">
                        <c:v>559714.55402235035</c:v>
                      </c:pt>
                      <c:pt idx="16">
                        <c:v>633308.46836826554</c:v>
                      </c:pt>
                      <c:pt idx="17">
                        <c:v>708720.95951151778</c:v>
                      </c:pt>
                      <c:pt idx="18">
                        <c:v>785956.875719473</c:v>
                      </c:pt>
                      <c:pt idx="19">
                        <c:v>865021.11373381561</c:v>
                      </c:pt>
                      <c:pt idx="20">
                        <c:v>945918.61925529235</c:v>
                      </c:pt>
                      <c:pt idx="21">
                        <c:v>1072049.1242754092</c:v>
                      </c:pt>
                      <c:pt idx="22">
                        <c:v>1198680.8317814451</c:v>
                      </c:pt>
                      <c:pt idx="23">
                        <c:v>1325818.8373085156</c:v>
                      </c:pt>
                      <c:pt idx="24">
                        <c:v>1453468.2873387365</c:v>
                      </c:pt>
                    </c:numCache>
                  </c:numRef>
                </c:val>
                <c:smooth val="0"/>
                <c:extLst xmlns:c15="http://schemas.microsoft.com/office/drawing/2012/chart">
                  <c:ext xmlns:c16="http://schemas.microsoft.com/office/drawing/2014/chart" uri="{C3380CC4-5D6E-409C-BE32-E72D297353CC}">
                    <c16:uniqueId val="{00000001-9329-4FF6-9123-398DE74F45F2}"/>
                  </c:ext>
                </c:extLst>
              </c15:ser>
            </c15:filteredLineSeries>
            <c15:filteredLineSeries>
              <c15:ser>
                <c:idx val="3"/>
                <c:order val="4"/>
                <c:tx>
                  <c:strRef>
                    <c:extLst xmlns:c15="http://schemas.microsoft.com/office/drawing/2012/chart">
                      <c:ext xmlns:c15="http://schemas.microsoft.com/office/drawing/2012/chart" uri="{02D57815-91ED-43cb-92C2-25804820EDAC}">
                        <c15:formulaRef>
                          <c15:sqref>B1_Calculs!$AP$41</c15:sqref>
                        </c15:formulaRef>
                      </c:ext>
                    </c:extLst>
                    <c:strCache>
                      <c:ptCount val="1"/>
                      <c:pt idx="0">
                        <c:v>Bénéfice / Perte cumulé(e)</c:v>
                      </c:pt>
                    </c:strCache>
                  </c:strRef>
                </c:tx>
                <c:val>
                  <c:numRef>
                    <c:extLst xmlns:c15="http://schemas.microsoft.com/office/drawing/2012/chart">
                      <c:ext xmlns:c15="http://schemas.microsoft.com/office/drawing/2012/chart" uri="{02D57815-91ED-43cb-92C2-25804820EDAC}">
                        <c15:formulaRef>
                          <c15:sqref>B1_Calculs!$AP$44:$AP$68</c15:sqref>
                        </c15:formulaRef>
                      </c:ext>
                    </c:extLst>
                    <c:numCache>
                      <c:formatCode>#,##0</c:formatCode>
                      <c:ptCount val="25"/>
                      <c:pt idx="0">
                        <c:v>-40870</c:v>
                      </c:pt>
                      <c:pt idx="1">
                        <c:v>-128383.82771052631</c:v>
                      </c:pt>
                      <c:pt idx="2">
                        <c:v>-212530.53964902501</c:v>
                      </c:pt>
                      <c:pt idx="3">
                        <c:v>-223606.57907251292</c:v>
                      </c:pt>
                      <c:pt idx="4">
                        <c:v>-205584.54276887747</c:v>
                      </c:pt>
                      <c:pt idx="5">
                        <c:v>-185732.69039181166</c:v>
                      </c:pt>
                      <c:pt idx="6">
                        <c:v>-200573.75455340528</c:v>
                      </c:pt>
                      <c:pt idx="7">
                        <c:v>-213738.30260969134</c:v>
                      </c:pt>
                      <c:pt idx="8">
                        <c:v>-218008.86961642368</c:v>
                      </c:pt>
                      <c:pt idx="9">
                        <c:v>-213283.91567552992</c:v>
                      </c:pt>
                      <c:pt idx="10">
                        <c:v>-206773.0052504341</c:v>
                      </c:pt>
                      <c:pt idx="11">
                        <c:v>-198471.61621839198</c:v>
                      </c:pt>
                      <c:pt idx="12">
                        <c:v>-188375.1812437927</c:v>
                      </c:pt>
                      <c:pt idx="13">
                        <c:v>-176479.08732602972</c:v>
                      </c:pt>
                      <c:pt idx="14">
                        <c:v>-162778.67534284963</c:v>
                      </c:pt>
                      <c:pt idx="15">
                        <c:v>-147269.23958913534</c:v>
                      </c:pt>
                      <c:pt idx="16">
                        <c:v>-129946.02731107583</c:v>
                      </c:pt>
                      <c:pt idx="17">
                        <c:v>-111340.80142024602</c:v>
                      </c:pt>
                      <c:pt idx="18">
                        <c:v>-90912.150464713166</c:v>
                      </c:pt>
                      <c:pt idx="19">
                        <c:v>-68655.177702792978</c:v>
                      </c:pt>
                      <c:pt idx="20">
                        <c:v>-44564.937433738669</c:v>
                      </c:pt>
                      <c:pt idx="21">
                        <c:v>-19978.539771307376</c:v>
                      </c:pt>
                      <c:pt idx="22">
                        <c:v>-11787.461958606436</c:v>
                      </c:pt>
                      <c:pt idx="23">
                        <c:v>-3090.0861248708097</c:v>
                      </c:pt>
                      <c:pt idx="24">
                        <c:v>6118.7342120151734</c:v>
                      </c:pt>
                    </c:numCache>
                  </c:numRef>
                </c:val>
                <c:smooth val="0"/>
                <c:extLst xmlns:c15="http://schemas.microsoft.com/office/drawing/2012/chart">
                  <c:ext xmlns:c16="http://schemas.microsoft.com/office/drawing/2014/chart" uri="{C3380CC4-5D6E-409C-BE32-E72D297353CC}">
                    <c16:uniqueId val="{00000000-4AEB-4590-9E85-938FF2FA1555}"/>
                  </c:ext>
                </c:extLst>
              </c15:ser>
            </c15:filteredLineSeries>
          </c:ext>
        </c:extLst>
      </c:lineChart>
      <c:catAx>
        <c:axId val="363559576"/>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61144"/>
        <c:crosses val="autoZero"/>
        <c:auto val="1"/>
        <c:lblAlgn val="ctr"/>
        <c:lblOffset val="100"/>
        <c:noMultiLvlLbl val="0"/>
      </c:catAx>
      <c:valAx>
        <c:axId val="363561144"/>
        <c:scaling>
          <c:orientation val="minMax"/>
        </c:scaling>
        <c:delete val="0"/>
        <c:axPos val="l"/>
        <c:majorGridlines>
          <c:spPr>
            <a:ln w="3175">
              <a:solidFill>
                <a:srgbClr val="000000"/>
              </a:solidFill>
              <a:prstDash val="solid"/>
            </a:ln>
          </c:spPr>
        </c:majorGridlines>
        <c:title>
          <c:tx>
            <c:rich>
              <a:bodyPr/>
              <a:lstStyle/>
              <a:p>
                <a:pPr>
                  <a:defRPr sz="1000"/>
                </a:pPr>
                <a:r>
                  <a:rPr lang="de-DE" sz="1000" b="0" i="0" u="none" strike="noStrike" kern="1200" baseline="0">
                    <a:solidFill>
                      <a:srgbClr val="000000"/>
                    </a:solidFill>
                    <a:ea typeface="Arial"/>
                    <a:cs typeface="Arial"/>
                  </a:rPr>
                  <a:t>Montant  [CHF]</a:t>
                </a:r>
              </a:p>
            </c:rich>
          </c:tx>
          <c:layout>
            <c:manualLayout>
              <c:xMode val="edge"/>
              <c:yMode val="edge"/>
              <c:x val="2.0901425773980027E-2"/>
              <c:y val="0.38833402955249613"/>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9576"/>
        <c:crosses val="autoZero"/>
        <c:crossBetween val="between"/>
      </c:valAx>
      <c:spPr>
        <a:noFill/>
        <a:ln w="12700">
          <a:solidFill>
            <a:schemeClr val="tx1"/>
          </a:solidFill>
          <a:prstDash val="solid"/>
        </a:ln>
      </c:spPr>
    </c:plotArea>
    <c:legend>
      <c:legendPos val="b"/>
      <c:layout>
        <c:manualLayout>
          <c:xMode val="edge"/>
          <c:yMode val="edge"/>
          <c:x val="4.791666666666668E-3"/>
          <c:y val="0.94500157480314995"/>
          <c:w val="0.97246562500000022"/>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400" b="1" i="0" u="none" strike="noStrike" kern="1200" baseline="0">
                <a:solidFill>
                  <a:srgbClr val="000000"/>
                </a:solidFill>
                <a:latin typeface="+mn-lt"/>
                <a:ea typeface="Arial"/>
                <a:cs typeface="Arial"/>
              </a:defRPr>
            </a:pPr>
            <a:r>
              <a:rPr lang="de-DE" sz="1400" b="1" i="0" u="none" strike="noStrike" kern="1200" baseline="0">
                <a:solidFill>
                  <a:srgbClr val="000000"/>
                </a:solidFill>
                <a:effectLst/>
                <a:ea typeface="Arial"/>
                <a:cs typeface="Arial"/>
              </a:rPr>
              <a:t>Évolution économique </a:t>
            </a:r>
            <a:r>
              <a:rPr lang="de-DE" sz="1400" b="1"/>
              <a:t>(Cash-flow)</a:t>
            </a:r>
          </a:p>
        </c:rich>
      </c:tx>
      <c:layout>
        <c:manualLayout>
          <c:xMode val="edge"/>
          <c:yMode val="edge"/>
          <c:x val="0.30123365636055993"/>
          <c:y val="2.8333271912322908E-2"/>
        </c:manualLayout>
      </c:layout>
      <c:overlay val="0"/>
      <c:spPr>
        <a:noFill/>
        <a:ln w="25400">
          <a:noFill/>
        </a:ln>
      </c:spPr>
    </c:title>
    <c:autoTitleDeleted val="0"/>
    <c:plotArea>
      <c:layout>
        <c:manualLayout>
          <c:layoutTarget val="inner"/>
          <c:xMode val="edge"/>
          <c:yMode val="edge"/>
          <c:x val="0.12510610337602029"/>
          <c:y val="0.12414665701104162"/>
          <c:w val="0.8459087291851064"/>
          <c:h val="0.72164912695634031"/>
        </c:manualLayout>
      </c:layout>
      <c:barChart>
        <c:barDir val="col"/>
        <c:grouping val="clustered"/>
        <c:varyColors val="0"/>
        <c:ser>
          <c:idx val="1"/>
          <c:order val="0"/>
          <c:tx>
            <c:strRef>
              <c:f>B1_Calculs!$U$39</c:f>
              <c:strCache>
                <c:ptCount val="1"/>
                <c:pt idx="0">
                  <c:v>Dépenses</c:v>
                </c:pt>
              </c:strCache>
            </c:strRef>
          </c:tx>
          <c:spPr>
            <a:solidFill>
              <a:schemeClr val="accent1">
                <a:lumMod val="60000"/>
                <a:lumOff val="40000"/>
              </a:schemeClr>
            </a:solidFill>
            <a:ln w="12700">
              <a:no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B1_Calculs!$AH$44:$AH$68</c:f>
              <c:numCache>
                <c:formatCode>#,##0</c:formatCode>
                <c:ptCount val="25"/>
                <c:pt idx="0">
                  <c:v>40870</c:v>
                </c:pt>
                <c:pt idx="1">
                  <c:v>147578.52771052631</c:v>
                </c:pt>
                <c:pt idx="2">
                  <c:v>213883.19089950356</c:v>
                </c:pt>
                <c:pt idx="3">
                  <c:v>256680.47103279617</c:v>
                </c:pt>
                <c:pt idx="4">
                  <c:v>272959.44209238025</c:v>
                </c:pt>
                <c:pt idx="5">
                  <c:v>272603.16911359021</c:v>
                </c:pt>
                <c:pt idx="6">
                  <c:v>288583.07977641682</c:v>
                </c:pt>
                <c:pt idx="7">
                  <c:v>288410.176070249</c:v>
                </c:pt>
                <c:pt idx="8">
                  <c:v>292456.86776239029</c:v>
                </c:pt>
                <c:pt idx="9">
                  <c:v>296514.67365130287</c:v>
                </c:pt>
                <c:pt idx="10">
                  <c:v>296376.7969064028</c:v>
                </c:pt>
                <c:pt idx="11">
                  <c:v>296251.11627534922</c:v>
                </c:pt>
                <c:pt idx="12">
                  <c:v>296137.75370389776</c:v>
                </c:pt>
                <c:pt idx="13">
                  <c:v>296036.83235726313</c:v>
                </c:pt>
                <c:pt idx="14">
                  <c:v>295948.47663231369</c:v>
                </c:pt>
                <c:pt idx="15">
                  <c:v>295872.812169888</c:v>
                </c:pt>
                <c:pt idx="16">
                  <c:v>295809.96586723463</c:v>
                </c:pt>
                <c:pt idx="17">
                  <c:v>295760.06589057622</c:v>
                </c:pt>
                <c:pt idx="18">
                  <c:v>295723.24168779881</c:v>
                </c:pt>
                <c:pt idx="19">
                  <c:v>295699.62400126923</c:v>
                </c:pt>
                <c:pt idx="20">
                  <c:v>295689.34488077951</c:v>
                </c:pt>
                <c:pt idx="21">
                  <c:v>297034.64295977878</c:v>
                </c:pt>
                <c:pt idx="22">
                  <c:v>298393.54767910513</c:v>
                </c:pt>
                <c:pt idx="23">
                  <c:v>299766.19508979568</c:v>
                </c:pt>
                <c:pt idx="24">
                  <c:v>301152.72260339989</c:v>
                </c:pt>
              </c:numCache>
            </c:numRef>
          </c:val>
          <c:extLst>
            <c:ext xmlns:c16="http://schemas.microsoft.com/office/drawing/2014/chart" uri="{C3380CC4-5D6E-409C-BE32-E72D297353CC}">
              <c16:uniqueId val="{00000000-CF4C-4FD7-B65D-9760A1674003}"/>
            </c:ext>
          </c:extLst>
        </c:ser>
        <c:ser>
          <c:idx val="6"/>
          <c:order val="1"/>
          <c:tx>
            <c:strRef>
              <c:f>B1_Calculs!$AJ$41</c:f>
              <c:strCache>
                <c:ptCount val="1"/>
                <c:pt idx="0">
                  <c:v>Total des charges, y compris amortissement des crédits</c:v>
                </c:pt>
              </c:strCache>
            </c:strRef>
          </c:tx>
          <c:spPr>
            <a:solidFill>
              <a:schemeClr val="accent2"/>
            </a:solidFill>
            <a:ln>
              <a:noFill/>
            </a:ln>
          </c:spPr>
          <c:invertIfNegative val="0"/>
          <c:val>
            <c:numRef>
              <c:f>B1_Calculs!$AJ$44:$AJ$68</c:f>
              <c:numCache>
                <c:formatCode>#,##0</c:formatCode>
                <c:ptCount val="25"/>
                <c:pt idx="0">
                  <c:v>40870</c:v>
                </c:pt>
                <c:pt idx="1">
                  <c:v>147578.52771052631</c:v>
                </c:pt>
                <c:pt idx="2">
                  <c:v>258620.03300476674</c:v>
                </c:pt>
                <c:pt idx="3">
                  <c:v>301417.31313805934</c:v>
                </c:pt>
                <c:pt idx="4">
                  <c:v>317696.2841976434</c:v>
                </c:pt>
                <c:pt idx="5">
                  <c:v>317340.01121885335</c:v>
                </c:pt>
                <c:pt idx="6">
                  <c:v>333319.92188167997</c:v>
                </c:pt>
                <c:pt idx="7">
                  <c:v>333147.01817551214</c:v>
                </c:pt>
                <c:pt idx="8">
                  <c:v>337193.70986765344</c:v>
                </c:pt>
                <c:pt idx="9">
                  <c:v>341251.51575656602</c:v>
                </c:pt>
                <c:pt idx="10">
                  <c:v>341113.63901166595</c:v>
                </c:pt>
                <c:pt idx="11">
                  <c:v>340987.95838061237</c:v>
                </c:pt>
                <c:pt idx="12">
                  <c:v>340874.59580916091</c:v>
                </c:pt>
                <c:pt idx="13">
                  <c:v>340773.67446252628</c:v>
                </c:pt>
                <c:pt idx="14">
                  <c:v>340685.31873757683</c:v>
                </c:pt>
                <c:pt idx="15">
                  <c:v>340609.65427515114</c:v>
                </c:pt>
                <c:pt idx="16">
                  <c:v>340546.80797249777</c:v>
                </c:pt>
                <c:pt idx="17">
                  <c:v>340496.90799583937</c:v>
                </c:pt>
                <c:pt idx="18">
                  <c:v>340460.08379306196</c:v>
                </c:pt>
                <c:pt idx="19">
                  <c:v>340436.46610653237</c:v>
                </c:pt>
                <c:pt idx="20">
                  <c:v>340426.18698604265</c:v>
                </c:pt>
                <c:pt idx="21">
                  <c:v>297034.64295977878</c:v>
                </c:pt>
                <c:pt idx="22">
                  <c:v>298393.54767910513</c:v>
                </c:pt>
                <c:pt idx="23">
                  <c:v>299766.19508979568</c:v>
                </c:pt>
                <c:pt idx="24">
                  <c:v>301152.72260339989</c:v>
                </c:pt>
              </c:numCache>
            </c:numRef>
          </c:val>
          <c:extLst>
            <c:ext xmlns:c16="http://schemas.microsoft.com/office/drawing/2014/chart" uri="{C3380CC4-5D6E-409C-BE32-E72D297353CC}">
              <c16:uniqueId val="{00000000-2755-47C7-8204-92E0CADC0125}"/>
            </c:ext>
          </c:extLst>
        </c:ser>
        <c:ser>
          <c:idx val="2"/>
          <c:order val="2"/>
          <c:tx>
            <c:strRef>
              <c:f>B1_Calculs!$N$39</c:f>
              <c:strCache>
                <c:ptCount val="1"/>
                <c:pt idx="0">
                  <c:v>Recettes</c:v>
                </c:pt>
              </c:strCache>
            </c:strRef>
          </c:tx>
          <c:spPr>
            <a:solidFill>
              <a:schemeClr val="accent6">
                <a:lumMod val="60000"/>
                <a:lumOff val="40000"/>
              </a:schemeClr>
            </a:solidFill>
            <a:ln w="12700">
              <a:solidFill>
                <a:schemeClr val="accent6"/>
              </a:solid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B1_Calculs!$T$44:$T$68</c:f>
              <c:numCache>
                <c:formatCode>#,##0</c:formatCode>
                <c:ptCount val="25"/>
                <c:pt idx="0">
                  <c:v>0</c:v>
                </c:pt>
                <c:pt idx="1">
                  <c:v>60064.7</c:v>
                </c:pt>
                <c:pt idx="2">
                  <c:v>210542.51429950001</c:v>
                </c:pt>
                <c:pt idx="3">
                  <c:v>326410.46694780339</c:v>
                </c:pt>
                <c:pt idx="4">
                  <c:v>371787.51373451087</c:v>
                </c:pt>
                <c:pt idx="5">
                  <c:v>373261.05682915112</c:v>
                </c:pt>
                <c:pt idx="6">
                  <c:v>374749.55978794215</c:v>
                </c:pt>
                <c:pt idx="7">
                  <c:v>376253.17218708189</c:v>
                </c:pt>
                <c:pt idx="8">
                  <c:v>389193.84492877685</c:v>
                </c:pt>
                <c:pt idx="9">
                  <c:v>402247.17176531558</c:v>
                </c:pt>
                <c:pt idx="10">
                  <c:v>403895.25150461751</c:v>
                </c:pt>
                <c:pt idx="11">
                  <c:v>405560.04948051029</c:v>
                </c:pt>
                <c:pt idx="12">
                  <c:v>407241.73285161599</c:v>
                </c:pt>
                <c:pt idx="13">
                  <c:v>408940.47044814506</c:v>
                </c:pt>
                <c:pt idx="14">
                  <c:v>410656.43278861267</c:v>
                </c:pt>
                <c:pt idx="15">
                  <c:v>412389.79209672124</c:v>
                </c:pt>
                <c:pt idx="16">
                  <c:v>414140.72231841303</c:v>
                </c:pt>
                <c:pt idx="17">
                  <c:v>415909.39913909161</c:v>
                </c:pt>
                <c:pt idx="18">
                  <c:v>417696.00000101724</c:v>
                </c:pt>
                <c:pt idx="19">
                  <c:v>419500.70412087499</c:v>
                </c:pt>
                <c:pt idx="20">
                  <c:v>421323.69250751939</c:v>
                </c:pt>
                <c:pt idx="21">
                  <c:v>423165.14797989564</c:v>
                </c:pt>
                <c:pt idx="22">
                  <c:v>425025.255185141</c:v>
                </c:pt>
                <c:pt idx="23">
                  <c:v>426904.20061686623</c:v>
                </c:pt>
                <c:pt idx="24">
                  <c:v>428802.17263362079</c:v>
                </c:pt>
              </c:numCache>
            </c:numRef>
          </c:val>
          <c:extLst>
            <c:ext xmlns:c16="http://schemas.microsoft.com/office/drawing/2014/chart" uri="{C3380CC4-5D6E-409C-BE32-E72D297353CC}">
              <c16:uniqueId val="{00000001-CF4C-4FD7-B65D-9760A1674003}"/>
            </c:ext>
          </c:extLst>
        </c:ser>
        <c:dLbls>
          <c:showLegendKey val="0"/>
          <c:showVal val="0"/>
          <c:showCatName val="0"/>
          <c:showSerName val="0"/>
          <c:showPercent val="0"/>
          <c:showBubbleSize val="0"/>
        </c:dLbls>
        <c:gapWidth val="150"/>
        <c:axId val="363558008"/>
        <c:axId val="363558792"/>
      </c:barChart>
      <c:lineChart>
        <c:grouping val="standard"/>
        <c:varyColors val="0"/>
        <c:ser>
          <c:idx val="4"/>
          <c:order val="4"/>
          <c:tx>
            <c:strRef>
              <c:f>B1_Calculs!$AL$41</c:f>
              <c:strCache>
                <c:ptCount val="1"/>
                <c:pt idx="0">
                  <c:v>Cash-flow cumulé</c:v>
                </c:pt>
              </c:strCache>
              <c:extLst xmlns:c15="http://schemas.microsoft.com/office/drawing/2012/chart"/>
            </c:strRef>
          </c:tx>
          <c:spPr>
            <a:ln w="25400">
              <a:solidFill>
                <a:schemeClr val="accent2">
                  <a:lumMod val="75000"/>
                </a:schemeClr>
              </a:solidFill>
              <a:prstDash val="solid"/>
            </a:ln>
          </c:spPr>
          <c:marker>
            <c:symbol val="none"/>
          </c:marke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extLst xmlns:c15="http://schemas.microsoft.com/office/drawing/2012/chart"/>
            </c:numRef>
          </c:cat>
          <c:val>
            <c:numRef>
              <c:f>B1_Calculs!$AL$44:$AL$68</c:f>
              <c:numCache>
                <c:formatCode>#,##0</c:formatCode>
                <c:ptCount val="25"/>
                <c:pt idx="0">
                  <c:v>-40870</c:v>
                </c:pt>
                <c:pt idx="1">
                  <c:v>-128383.82771052631</c:v>
                </c:pt>
                <c:pt idx="2">
                  <c:v>-176461.34641579306</c:v>
                </c:pt>
                <c:pt idx="3">
                  <c:v>-151468.19260604901</c:v>
                </c:pt>
                <c:pt idx="4">
                  <c:v>-97376.96306918154</c:v>
                </c:pt>
                <c:pt idx="5">
                  <c:v>-41455.917458883778</c:v>
                </c:pt>
                <c:pt idx="6">
                  <c:v>-26.279552621592302</c:v>
                </c:pt>
                <c:pt idx="7">
                  <c:v>43079.87445894815</c:v>
                </c:pt>
                <c:pt idx="8">
                  <c:v>95080.009520071559</c:v>
                </c:pt>
                <c:pt idx="9">
                  <c:v>156075.66552882112</c:v>
                </c:pt>
                <c:pt idx="10">
                  <c:v>218857.27802177268</c:v>
                </c:pt>
                <c:pt idx="11">
                  <c:v>283429.36912167061</c:v>
                </c:pt>
                <c:pt idx="12">
                  <c:v>349796.50616412569</c:v>
                </c:pt>
                <c:pt idx="13">
                  <c:v>417963.30214974447</c:v>
                </c:pt>
                <c:pt idx="14">
                  <c:v>487934.41620078031</c:v>
                </c:pt>
                <c:pt idx="15">
                  <c:v>559714.55402235035</c:v>
                </c:pt>
                <c:pt idx="16">
                  <c:v>633308.46836826554</c:v>
                </c:pt>
                <c:pt idx="17">
                  <c:v>708720.95951151778</c:v>
                </c:pt>
                <c:pt idx="18">
                  <c:v>785956.875719473</c:v>
                </c:pt>
                <c:pt idx="19">
                  <c:v>865021.11373381561</c:v>
                </c:pt>
                <c:pt idx="20">
                  <c:v>945918.61925529235</c:v>
                </c:pt>
                <c:pt idx="21">
                  <c:v>1072049.1242754092</c:v>
                </c:pt>
                <c:pt idx="22">
                  <c:v>1198680.8317814451</c:v>
                </c:pt>
                <c:pt idx="23">
                  <c:v>1325818.8373085156</c:v>
                </c:pt>
                <c:pt idx="24">
                  <c:v>1453468.2873387365</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CF4C-4FD7-B65D-9760A1674003}"/>
            </c:ext>
          </c:extLst>
        </c:ser>
        <c:dLbls>
          <c:showLegendKey val="0"/>
          <c:showVal val="0"/>
          <c:showCatName val="0"/>
          <c:showSerName val="0"/>
          <c:showPercent val="0"/>
          <c:showBubbleSize val="0"/>
        </c:dLbls>
        <c:marker val="1"/>
        <c:smooth val="0"/>
        <c:axId val="363558008"/>
        <c:axId val="363558792"/>
        <c:extLst>
          <c:ext xmlns:c15="http://schemas.microsoft.com/office/drawing/2012/chart" uri="{02D57815-91ED-43cb-92C2-25804820EDAC}">
            <c15:filteredLineSeries>
              <c15:ser>
                <c:idx val="3"/>
                <c:order val="3"/>
                <c:tx>
                  <c:strRef>
                    <c:extLst>
                      <c:ext uri="{02D57815-91ED-43cb-92C2-25804820EDAC}">
                        <c15:formulaRef>
                          <c15:sqref>B1_Calculs!$AK$41</c15:sqref>
                        </c15:formulaRef>
                      </c:ext>
                    </c:extLst>
                    <c:strCache>
                      <c:ptCount val="1"/>
                      <c:pt idx="0">
                        <c:v>Cashflow</c:v>
                      </c:pt>
                    </c:strCache>
                  </c:strRef>
                </c:tx>
                <c:spPr>
                  <a:ln w="25400">
                    <a:solidFill>
                      <a:srgbClr val="00FFFF"/>
                    </a:solidFill>
                    <a:prstDash val="solid"/>
                  </a:ln>
                </c:spPr>
                <c:marker>
                  <c:symbol val="none"/>
                </c:marker>
                <c:cat>
                  <c:numRef>
                    <c:extLst>
                      <c:ex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B1_Calculs!$AK$44:$AK$68</c15:sqref>
                        </c15:formulaRef>
                      </c:ext>
                    </c:extLst>
                    <c:numCache>
                      <c:formatCode>#,##0</c:formatCode>
                      <c:ptCount val="25"/>
                      <c:pt idx="0">
                        <c:v>-40870</c:v>
                      </c:pt>
                      <c:pt idx="1">
                        <c:v>-87513.827710526311</c:v>
                      </c:pt>
                      <c:pt idx="2">
                        <c:v>-48077.518705266732</c:v>
                      </c:pt>
                      <c:pt idx="3">
                        <c:v>24993.15380974405</c:v>
                      </c:pt>
                      <c:pt idx="4">
                        <c:v>54091.229536867468</c:v>
                      </c:pt>
                      <c:pt idx="5">
                        <c:v>55921.045610297762</c:v>
                      </c:pt>
                      <c:pt idx="6">
                        <c:v>41429.637906262185</c:v>
                      </c:pt>
                      <c:pt idx="7">
                        <c:v>43106.154011569743</c:v>
                      </c:pt>
                      <c:pt idx="8">
                        <c:v>52000.135061123408</c:v>
                      </c:pt>
                      <c:pt idx="9">
                        <c:v>60995.65600874956</c:v>
                      </c:pt>
                      <c:pt idx="10">
                        <c:v>62781.612492951564</c:v>
                      </c:pt>
                      <c:pt idx="11">
                        <c:v>64572.091099897923</c:v>
                      </c:pt>
                      <c:pt idx="12">
                        <c:v>66367.137042455084</c:v>
                      </c:pt>
                      <c:pt idx="13">
                        <c:v>68166.795985618781</c:v>
                      </c:pt>
                      <c:pt idx="14">
                        <c:v>69971.114051035838</c:v>
                      </c:pt>
                      <c:pt idx="15">
                        <c:v>71780.137821570097</c:v>
                      </c:pt>
                      <c:pt idx="16">
                        <c:v>73593.914345915255</c:v>
                      </c:pt>
                      <c:pt idx="17">
                        <c:v>75412.491143252235</c:v>
                      </c:pt>
                      <c:pt idx="18">
                        <c:v>77235.916207955277</c:v>
                      </c:pt>
                      <c:pt idx="19">
                        <c:v>79064.238014342613</c:v>
                      </c:pt>
                      <c:pt idx="20">
                        <c:v>80897.505521476734</c:v>
                      </c:pt>
                      <c:pt idx="21">
                        <c:v>126130.50502011686</c:v>
                      </c:pt>
                      <c:pt idx="22">
                        <c:v>126631.70750603586</c:v>
                      </c:pt>
                      <c:pt idx="23">
                        <c:v>127138.00552707055</c:v>
                      </c:pt>
                      <c:pt idx="24">
                        <c:v>127649.45003022091</c:v>
                      </c:pt>
                    </c:numCache>
                  </c:numRef>
                </c:val>
                <c:smooth val="0"/>
                <c:extLst>
                  <c:ext xmlns:c16="http://schemas.microsoft.com/office/drawing/2014/chart" uri="{C3380CC4-5D6E-409C-BE32-E72D297353CC}">
                    <c16:uniqueId val="{00000002-CF4C-4FD7-B65D-9760A1674003}"/>
                  </c:ext>
                </c:extLst>
              </c15:ser>
            </c15:filteredLineSeries>
            <c15:filteredLineSeries>
              <c15:ser>
                <c:idx val="0"/>
                <c:order val="5"/>
                <c:tx>
                  <c:strRef>
                    <c:extLst xmlns:c15="http://schemas.microsoft.com/office/drawing/2012/chart">
                      <c:ext xmlns:c15="http://schemas.microsoft.com/office/drawing/2012/chart" uri="{02D57815-91ED-43cb-92C2-25804820EDAC}">
                        <c15:formulaRef>
                          <c15:sqref>B1_Calculs!$AO$41</c15:sqref>
                        </c15:formulaRef>
                      </c:ext>
                    </c:extLst>
                    <c:strCache>
                      <c:ptCount val="1"/>
                      <c:pt idx="0">
                        <c:v>Bénéfice net /
Perte nette</c:v>
                      </c:pt>
                    </c:strCache>
                  </c:strRef>
                </c:tx>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B1_Calculs!$AO$44:$AO$68</c15:sqref>
                        </c15:formulaRef>
                      </c:ext>
                    </c:extLst>
                    <c:numCache>
                      <c:formatCode>#,##0</c:formatCode>
                      <c:ptCount val="25"/>
                      <c:pt idx="0">
                        <c:v>-40870</c:v>
                      </c:pt>
                      <c:pt idx="1">
                        <c:v>-87513.827710526311</c:v>
                      </c:pt>
                      <c:pt idx="2">
                        <c:v>-84146.711938498687</c:v>
                      </c:pt>
                      <c:pt idx="3">
                        <c:v>-11076.039423487906</c:v>
                      </c:pt>
                      <c:pt idx="4">
                        <c:v>18022.036303635454</c:v>
                      </c:pt>
                      <c:pt idx="5">
                        <c:v>19851.852377065807</c:v>
                      </c:pt>
                      <c:pt idx="6">
                        <c:v>-14841.064161593618</c:v>
                      </c:pt>
                      <c:pt idx="7">
                        <c:v>-13164.548056286061</c:v>
                      </c:pt>
                      <c:pt idx="8">
                        <c:v>-4270.5670067323372</c:v>
                      </c:pt>
                      <c:pt idx="9">
                        <c:v>4724.9539408937562</c:v>
                      </c:pt>
                      <c:pt idx="10">
                        <c:v>6510.9104250958189</c:v>
                      </c:pt>
                      <c:pt idx="11">
                        <c:v>8301.3890320421197</c:v>
                      </c:pt>
                      <c:pt idx="12">
                        <c:v>10096.43497459928</c:v>
                      </c:pt>
                      <c:pt idx="13">
                        <c:v>11896.093917762977</c:v>
                      </c:pt>
                      <c:pt idx="14">
                        <c:v>13700.411983180093</c:v>
                      </c:pt>
                      <c:pt idx="15">
                        <c:v>15509.435753714293</c:v>
                      </c:pt>
                      <c:pt idx="16">
                        <c:v>17323.212278059509</c:v>
                      </c:pt>
                      <c:pt idx="17">
                        <c:v>18605.22589082981</c:v>
                      </c:pt>
                      <c:pt idx="18">
                        <c:v>20428.650955532852</c:v>
                      </c:pt>
                      <c:pt idx="19">
                        <c:v>22256.972761920188</c:v>
                      </c:pt>
                      <c:pt idx="20">
                        <c:v>24090.240269054309</c:v>
                      </c:pt>
                      <c:pt idx="21">
                        <c:v>24586.397662431293</c:v>
                      </c:pt>
                      <c:pt idx="22">
                        <c:v>8191.0778127009398</c:v>
                      </c:pt>
                      <c:pt idx="23">
                        <c:v>8697.3758337356267</c:v>
                      </c:pt>
                      <c:pt idx="24">
                        <c:v>9208.8203368859831</c:v>
                      </c:pt>
                    </c:numCache>
                  </c:numRef>
                </c:val>
                <c:smooth val="0"/>
                <c:extLst xmlns:c15="http://schemas.microsoft.com/office/drawing/2012/chart">
                  <c:ext xmlns:c16="http://schemas.microsoft.com/office/drawing/2014/chart" uri="{C3380CC4-5D6E-409C-BE32-E72D297353CC}">
                    <c16:uniqueId val="{00000000-4B1D-4BB7-B876-2DD9D5FB3160}"/>
                  </c:ext>
                </c:extLst>
              </c15:ser>
            </c15:filteredLineSeries>
            <c15:filteredLineSeries>
              <c15:ser>
                <c:idx val="5"/>
                <c:order val="6"/>
                <c:tx>
                  <c:strRef>
                    <c:extLst xmlns:c15="http://schemas.microsoft.com/office/drawing/2012/chart">
                      <c:ext xmlns:c15="http://schemas.microsoft.com/office/drawing/2012/chart" uri="{02D57815-91ED-43cb-92C2-25804820EDAC}">
                        <c15:formulaRef>
                          <c15:sqref>B1_Calculs!$AP$41</c15:sqref>
                        </c15:formulaRef>
                      </c:ext>
                    </c:extLst>
                    <c:strCache>
                      <c:ptCount val="1"/>
                      <c:pt idx="0">
                        <c:v>Bénéfice / Perte cumulé(e)</c:v>
                      </c:pt>
                    </c:strCache>
                  </c:strRef>
                </c:tx>
                <c:spPr>
                  <a:ln>
                    <a:solidFill>
                      <a:schemeClr val="accent2">
                        <a:lumMod val="75000"/>
                      </a:schemeClr>
                    </a:solidFill>
                  </a:ln>
                </c:spPr>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B1_Calculs!$AP$44:$AP$68</c15:sqref>
                        </c15:formulaRef>
                      </c:ext>
                    </c:extLst>
                    <c:numCache>
                      <c:formatCode>#,##0</c:formatCode>
                      <c:ptCount val="25"/>
                      <c:pt idx="0">
                        <c:v>-40870</c:v>
                      </c:pt>
                      <c:pt idx="1">
                        <c:v>-128383.82771052631</c:v>
                      </c:pt>
                      <c:pt idx="2">
                        <c:v>-212530.53964902501</c:v>
                      </c:pt>
                      <c:pt idx="3">
                        <c:v>-223606.57907251292</c:v>
                      </c:pt>
                      <c:pt idx="4">
                        <c:v>-205584.54276887747</c:v>
                      </c:pt>
                      <c:pt idx="5">
                        <c:v>-185732.69039181166</c:v>
                      </c:pt>
                      <c:pt idx="6">
                        <c:v>-200573.75455340528</c:v>
                      </c:pt>
                      <c:pt idx="7">
                        <c:v>-213738.30260969134</c:v>
                      </c:pt>
                      <c:pt idx="8">
                        <c:v>-218008.86961642368</c:v>
                      </c:pt>
                      <c:pt idx="9">
                        <c:v>-213283.91567552992</c:v>
                      </c:pt>
                      <c:pt idx="10">
                        <c:v>-206773.0052504341</c:v>
                      </c:pt>
                      <c:pt idx="11">
                        <c:v>-198471.61621839198</c:v>
                      </c:pt>
                      <c:pt idx="12">
                        <c:v>-188375.1812437927</c:v>
                      </c:pt>
                      <c:pt idx="13">
                        <c:v>-176479.08732602972</c:v>
                      </c:pt>
                      <c:pt idx="14">
                        <c:v>-162778.67534284963</c:v>
                      </c:pt>
                      <c:pt idx="15">
                        <c:v>-147269.23958913534</c:v>
                      </c:pt>
                      <c:pt idx="16">
                        <c:v>-129946.02731107583</c:v>
                      </c:pt>
                      <c:pt idx="17">
                        <c:v>-111340.80142024602</c:v>
                      </c:pt>
                      <c:pt idx="18">
                        <c:v>-90912.150464713166</c:v>
                      </c:pt>
                      <c:pt idx="19">
                        <c:v>-68655.177702792978</c:v>
                      </c:pt>
                      <c:pt idx="20">
                        <c:v>-44564.937433738669</c:v>
                      </c:pt>
                      <c:pt idx="21">
                        <c:v>-19978.539771307376</c:v>
                      </c:pt>
                      <c:pt idx="22">
                        <c:v>-11787.461958606436</c:v>
                      </c:pt>
                      <c:pt idx="23">
                        <c:v>-3090.0861248708097</c:v>
                      </c:pt>
                      <c:pt idx="24">
                        <c:v>6118.7342120151734</c:v>
                      </c:pt>
                    </c:numCache>
                  </c:numRef>
                </c:val>
                <c:smooth val="0"/>
                <c:extLst xmlns:c15="http://schemas.microsoft.com/office/drawing/2012/chart">
                  <c:ext xmlns:c16="http://schemas.microsoft.com/office/drawing/2014/chart" uri="{C3380CC4-5D6E-409C-BE32-E72D297353CC}">
                    <c16:uniqueId val="{00000001-4B1D-4BB7-B876-2DD9D5FB3160}"/>
                  </c:ext>
                </c:extLst>
              </c15:ser>
            </c15:filteredLineSeries>
          </c:ext>
        </c:extLst>
      </c:lineChart>
      <c:catAx>
        <c:axId val="363558008"/>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58792"/>
        <c:crosses val="autoZero"/>
        <c:auto val="1"/>
        <c:lblAlgn val="ctr"/>
        <c:lblOffset val="100"/>
        <c:tickLblSkip val="1"/>
        <c:tickMarkSkip val="1"/>
        <c:noMultiLvlLbl val="0"/>
      </c:catAx>
      <c:valAx>
        <c:axId val="363558792"/>
        <c:scaling>
          <c:orientation val="minMax"/>
        </c:scaling>
        <c:delete val="0"/>
        <c:axPos val="l"/>
        <c:majorGridlines>
          <c:spPr>
            <a:ln w="3175">
              <a:solidFill>
                <a:srgbClr val="000000"/>
              </a:solidFill>
              <a:prstDash val="solid"/>
            </a:ln>
          </c:spPr>
        </c:majorGridlines>
        <c:title>
          <c:tx>
            <c:rich>
              <a:bodyPr/>
              <a:lstStyle/>
              <a:p>
                <a:pPr>
                  <a:defRPr sz="1000"/>
                </a:pPr>
                <a:r>
                  <a:rPr lang="de-DE" sz="1000" b="0" i="0" u="none" strike="noStrike" kern="1200" baseline="0">
                    <a:solidFill>
                      <a:srgbClr val="000000"/>
                    </a:solidFill>
                    <a:ea typeface="Arial"/>
                    <a:cs typeface="Arial"/>
                  </a:rPr>
                  <a:t>Montant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8008"/>
        <c:crosses val="autoZero"/>
        <c:crossBetween val="between"/>
      </c:valAx>
      <c:spPr>
        <a:noFill/>
        <a:ln w="12700">
          <a:solidFill>
            <a:schemeClr val="tx1"/>
          </a:solidFill>
          <a:prstDash val="solid"/>
        </a:ln>
      </c:spPr>
    </c:plotArea>
    <c:legend>
      <c:legendPos val="b"/>
      <c:layout>
        <c:manualLayout>
          <c:xMode val="edge"/>
          <c:yMode val="edge"/>
          <c:x val="3.125E-2"/>
          <c:y val="0.94500157480314995"/>
          <c:w val="0.74813854166666671"/>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de-DE" sz="1400" b="1" i="0" u="none" strike="noStrike" kern="1200" baseline="0">
                <a:solidFill>
                  <a:srgbClr val="000000"/>
                </a:solidFill>
                <a:effectLst/>
                <a:ea typeface="Arial"/>
                <a:cs typeface="Arial"/>
              </a:rPr>
              <a:t>Évolution économique (Bénéfice / Perte)</a:t>
            </a:r>
          </a:p>
        </c:rich>
      </c:tx>
      <c:layout>
        <c:manualLayout>
          <c:xMode val="edge"/>
          <c:yMode val="edge"/>
          <c:x val="0.33914062499999997"/>
          <c:y val="2.6146821195066196E-2"/>
        </c:manualLayout>
      </c:layout>
      <c:overlay val="0"/>
    </c:title>
    <c:autoTitleDeleted val="0"/>
    <c:plotArea>
      <c:layout>
        <c:manualLayout>
          <c:layoutTarget val="inner"/>
          <c:xMode val="edge"/>
          <c:yMode val="edge"/>
          <c:x val="0.12510610337602029"/>
          <c:y val="0.12414665701104162"/>
          <c:w val="0.8459087291851064"/>
          <c:h val="0.72164912695634031"/>
        </c:manualLayout>
      </c:layout>
      <c:barChart>
        <c:barDir val="col"/>
        <c:grouping val="clustered"/>
        <c:varyColors val="0"/>
        <c:ser>
          <c:idx val="1"/>
          <c:order val="0"/>
          <c:tx>
            <c:strRef>
              <c:f>B1_Calculs!$U$39</c:f>
              <c:strCache>
                <c:ptCount val="1"/>
                <c:pt idx="0">
                  <c:v>Dépenses</c:v>
                </c:pt>
              </c:strCache>
            </c:strRef>
          </c:tx>
          <c:spPr>
            <a:solidFill>
              <a:schemeClr val="accent1">
                <a:lumMod val="60000"/>
                <a:lumOff val="40000"/>
              </a:schemeClr>
            </a:solidFill>
            <a:ln w="12700">
              <a:no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B1_Calculs!$AH$44:$AH$68</c:f>
              <c:numCache>
                <c:formatCode>#,##0</c:formatCode>
                <c:ptCount val="25"/>
                <c:pt idx="0">
                  <c:v>40870</c:v>
                </c:pt>
                <c:pt idx="1">
                  <c:v>147578.52771052631</c:v>
                </c:pt>
                <c:pt idx="2">
                  <c:v>213883.19089950356</c:v>
                </c:pt>
                <c:pt idx="3">
                  <c:v>256680.47103279617</c:v>
                </c:pt>
                <c:pt idx="4">
                  <c:v>272959.44209238025</c:v>
                </c:pt>
                <c:pt idx="5">
                  <c:v>272603.16911359021</c:v>
                </c:pt>
                <c:pt idx="6">
                  <c:v>288583.07977641682</c:v>
                </c:pt>
                <c:pt idx="7">
                  <c:v>288410.176070249</c:v>
                </c:pt>
                <c:pt idx="8">
                  <c:v>292456.86776239029</c:v>
                </c:pt>
                <c:pt idx="9">
                  <c:v>296514.67365130287</c:v>
                </c:pt>
                <c:pt idx="10">
                  <c:v>296376.7969064028</c:v>
                </c:pt>
                <c:pt idx="11">
                  <c:v>296251.11627534922</c:v>
                </c:pt>
                <c:pt idx="12">
                  <c:v>296137.75370389776</c:v>
                </c:pt>
                <c:pt idx="13">
                  <c:v>296036.83235726313</c:v>
                </c:pt>
                <c:pt idx="14">
                  <c:v>295948.47663231369</c:v>
                </c:pt>
                <c:pt idx="15">
                  <c:v>295872.812169888</c:v>
                </c:pt>
                <c:pt idx="16">
                  <c:v>295809.96586723463</c:v>
                </c:pt>
                <c:pt idx="17">
                  <c:v>295760.06589057622</c:v>
                </c:pt>
                <c:pt idx="18">
                  <c:v>295723.24168779881</c:v>
                </c:pt>
                <c:pt idx="19">
                  <c:v>295699.62400126923</c:v>
                </c:pt>
                <c:pt idx="20">
                  <c:v>295689.34488077951</c:v>
                </c:pt>
                <c:pt idx="21">
                  <c:v>297034.64295977878</c:v>
                </c:pt>
                <c:pt idx="22">
                  <c:v>298393.54767910513</c:v>
                </c:pt>
                <c:pt idx="23">
                  <c:v>299766.19508979568</c:v>
                </c:pt>
                <c:pt idx="24">
                  <c:v>301152.72260339989</c:v>
                </c:pt>
              </c:numCache>
            </c:numRef>
          </c:val>
          <c:extLst>
            <c:ext xmlns:c16="http://schemas.microsoft.com/office/drawing/2014/chart" uri="{C3380CC4-5D6E-409C-BE32-E72D297353CC}">
              <c16:uniqueId val="{00000000-5C96-408C-8AB3-08F7176191C0}"/>
            </c:ext>
          </c:extLst>
        </c:ser>
        <c:ser>
          <c:idx val="6"/>
          <c:order val="1"/>
          <c:tx>
            <c:strRef>
              <c:f>B1_Calculs!$AN$41</c:f>
              <c:strCache>
                <c:ptCount val="1"/>
                <c:pt idx="0">
                  <c:v>Total des charges, y compris amortissement</c:v>
                </c:pt>
              </c:strCache>
            </c:strRef>
          </c:tx>
          <c:spPr>
            <a:solidFill>
              <a:srgbClr val="FF0000"/>
            </a:solidFill>
            <a:ln>
              <a:noFill/>
            </a:ln>
          </c:spPr>
          <c:invertIfNegative val="0"/>
          <c:val>
            <c:numRef>
              <c:f>B1_Calculs!$AN$44:$AN$68</c:f>
              <c:numCache>
                <c:formatCode>#,##0</c:formatCode>
                <c:ptCount val="25"/>
                <c:pt idx="0">
                  <c:v>40870</c:v>
                </c:pt>
                <c:pt idx="1">
                  <c:v>147578.52771052631</c:v>
                </c:pt>
                <c:pt idx="2">
                  <c:v>294689.22623799869</c:v>
                </c:pt>
                <c:pt idx="3">
                  <c:v>337486.5063712913</c:v>
                </c:pt>
                <c:pt idx="4">
                  <c:v>353765.47743087541</c:v>
                </c:pt>
                <c:pt idx="5">
                  <c:v>353409.20445208531</c:v>
                </c:pt>
                <c:pt idx="6">
                  <c:v>389590.62394953577</c:v>
                </c:pt>
                <c:pt idx="7">
                  <c:v>389417.72024336795</c:v>
                </c:pt>
                <c:pt idx="8">
                  <c:v>393464.41193550918</c:v>
                </c:pt>
                <c:pt idx="9">
                  <c:v>397522.21782442182</c:v>
                </c:pt>
                <c:pt idx="10">
                  <c:v>397384.34107952169</c:v>
                </c:pt>
                <c:pt idx="11">
                  <c:v>397258.66044846817</c:v>
                </c:pt>
                <c:pt idx="12">
                  <c:v>397145.29787701671</c:v>
                </c:pt>
                <c:pt idx="13">
                  <c:v>397044.37653038208</c:v>
                </c:pt>
                <c:pt idx="14">
                  <c:v>396956.02080543258</c:v>
                </c:pt>
                <c:pt idx="15">
                  <c:v>396880.35634300695</c:v>
                </c:pt>
                <c:pt idx="16">
                  <c:v>396817.51004035352</c:v>
                </c:pt>
                <c:pt idx="17">
                  <c:v>397304.1732482618</c:v>
                </c:pt>
                <c:pt idx="18">
                  <c:v>397267.34904548438</c:v>
                </c:pt>
                <c:pt idx="19">
                  <c:v>397243.7313589548</c:v>
                </c:pt>
                <c:pt idx="20">
                  <c:v>397233.45223846508</c:v>
                </c:pt>
                <c:pt idx="21">
                  <c:v>398578.75031746435</c:v>
                </c:pt>
                <c:pt idx="22">
                  <c:v>416834.17737244006</c:v>
                </c:pt>
                <c:pt idx="23">
                  <c:v>418206.82478313061</c:v>
                </c:pt>
                <c:pt idx="24">
                  <c:v>419593.35229673481</c:v>
                </c:pt>
              </c:numCache>
            </c:numRef>
          </c:val>
          <c:extLst>
            <c:ext xmlns:c16="http://schemas.microsoft.com/office/drawing/2014/chart" uri="{C3380CC4-5D6E-409C-BE32-E72D297353CC}">
              <c16:uniqueId val="{00000006-5C96-408C-8AB3-08F7176191C0}"/>
            </c:ext>
          </c:extLst>
        </c:ser>
        <c:ser>
          <c:idx val="2"/>
          <c:order val="2"/>
          <c:tx>
            <c:strRef>
              <c:f>B1_Calculs!$N$39</c:f>
              <c:strCache>
                <c:ptCount val="1"/>
                <c:pt idx="0">
                  <c:v>Recettes</c:v>
                </c:pt>
              </c:strCache>
            </c:strRef>
          </c:tx>
          <c:spPr>
            <a:solidFill>
              <a:schemeClr val="accent6">
                <a:lumMod val="60000"/>
                <a:lumOff val="40000"/>
              </a:schemeClr>
            </a:solidFill>
            <a:ln w="12700">
              <a:solidFill>
                <a:schemeClr val="accent6"/>
              </a:solid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B1_Calculs!$T$44:$T$68</c:f>
              <c:numCache>
                <c:formatCode>#,##0</c:formatCode>
                <c:ptCount val="25"/>
                <c:pt idx="0">
                  <c:v>0</c:v>
                </c:pt>
                <c:pt idx="1">
                  <c:v>60064.7</c:v>
                </c:pt>
                <c:pt idx="2">
                  <c:v>210542.51429950001</c:v>
                </c:pt>
                <c:pt idx="3">
                  <c:v>326410.46694780339</c:v>
                </c:pt>
                <c:pt idx="4">
                  <c:v>371787.51373451087</c:v>
                </c:pt>
                <c:pt idx="5">
                  <c:v>373261.05682915112</c:v>
                </c:pt>
                <c:pt idx="6">
                  <c:v>374749.55978794215</c:v>
                </c:pt>
                <c:pt idx="7">
                  <c:v>376253.17218708189</c:v>
                </c:pt>
                <c:pt idx="8">
                  <c:v>389193.84492877685</c:v>
                </c:pt>
                <c:pt idx="9">
                  <c:v>402247.17176531558</c:v>
                </c:pt>
                <c:pt idx="10">
                  <c:v>403895.25150461751</c:v>
                </c:pt>
                <c:pt idx="11">
                  <c:v>405560.04948051029</c:v>
                </c:pt>
                <c:pt idx="12">
                  <c:v>407241.73285161599</c:v>
                </c:pt>
                <c:pt idx="13">
                  <c:v>408940.47044814506</c:v>
                </c:pt>
                <c:pt idx="14">
                  <c:v>410656.43278861267</c:v>
                </c:pt>
                <c:pt idx="15">
                  <c:v>412389.79209672124</c:v>
                </c:pt>
                <c:pt idx="16">
                  <c:v>414140.72231841303</c:v>
                </c:pt>
                <c:pt idx="17">
                  <c:v>415909.39913909161</c:v>
                </c:pt>
                <c:pt idx="18">
                  <c:v>417696.00000101724</c:v>
                </c:pt>
                <c:pt idx="19">
                  <c:v>419500.70412087499</c:v>
                </c:pt>
                <c:pt idx="20">
                  <c:v>421323.69250751939</c:v>
                </c:pt>
                <c:pt idx="21">
                  <c:v>423165.14797989564</c:v>
                </c:pt>
                <c:pt idx="22">
                  <c:v>425025.255185141</c:v>
                </c:pt>
                <c:pt idx="23">
                  <c:v>426904.20061686623</c:v>
                </c:pt>
                <c:pt idx="24">
                  <c:v>428802.17263362079</c:v>
                </c:pt>
              </c:numCache>
            </c:numRef>
          </c:val>
          <c:extLst>
            <c:ext xmlns:c16="http://schemas.microsoft.com/office/drawing/2014/chart" uri="{C3380CC4-5D6E-409C-BE32-E72D297353CC}">
              <c16:uniqueId val="{00000001-5C96-408C-8AB3-08F7176191C0}"/>
            </c:ext>
          </c:extLst>
        </c:ser>
        <c:dLbls>
          <c:showLegendKey val="0"/>
          <c:showVal val="0"/>
          <c:showCatName val="0"/>
          <c:showSerName val="0"/>
          <c:showPercent val="0"/>
          <c:showBubbleSize val="0"/>
        </c:dLbls>
        <c:gapWidth val="150"/>
        <c:axId val="363558008"/>
        <c:axId val="363558792"/>
      </c:barChart>
      <c:lineChart>
        <c:grouping val="standard"/>
        <c:varyColors val="0"/>
        <c:ser>
          <c:idx val="5"/>
          <c:order val="6"/>
          <c:tx>
            <c:strRef>
              <c:f>B1_Calculs!$AP$41</c:f>
              <c:strCache>
                <c:ptCount val="1"/>
                <c:pt idx="0">
                  <c:v>Bénéfice / Perte cumulé(e)</c:v>
                </c:pt>
              </c:strCache>
            </c:strRef>
          </c:tx>
          <c:spPr>
            <a:ln>
              <a:solidFill>
                <a:schemeClr val="accent1">
                  <a:lumMod val="75000"/>
                </a:schemeClr>
              </a:solidFill>
            </a:ln>
          </c:spPr>
          <c:marker>
            <c:symbol val="none"/>
          </c:marke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B1_Calculs!$AP$44:$AP$68</c:f>
              <c:numCache>
                <c:formatCode>#,##0</c:formatCode>
                <c:ptCount val="25"/>
                <c:pt idx="0">
                  <c:v>-40870</c:v>
                </c:pt>
                <c:pt idx="1">
                  <c:v>-128383.82771052631</c:v>
                </c:pt>
                <c:pt idx="2">
                  <c:v>-212530.53964902501</c:v>
                </c:pt>
                <c:pt idx="3">
                  <c:v>-223606.57907251292</c:v>
                </c:pt>
                <c:pt idx="4">
                  <c:v>-205584.54276887747</c:v>
                </c:pt>
                <c:pt idx="5">
                  <c:v>-185732.69039181166</c:v>
                </c:pt>
                <c:pt idx="6">
                  <c:v>-200573.75455340528</c:v>
                </c:pt>
                <c:pt idx="7">
                  <c:v>-213738.30260969134</c:v>
                </c:pt>
                <c:pt idx="8">
                  <c:v>-218008.86961642368</c:v>
                </c:pt>
                <c:pt idx="9">
                  <c:v>-213283.91567552992</c:v>
                </c:pt>
                <c:pt idx="10">
                  <c:v>-206773.0052504341</c:v>
                </c:pt>
                <c:pt idx="11">
                  <c:v>-198471.61621839198</c:v>
                </c:pt>
                <c:pt idx="12">
                  <c:v>-188375.1812437927</c:v>
                </c:pt>
                <c:pt idx="13">
                  <c:v>-176479.08732602972</c:v>
                </c:pt>
                <c:pt idx="14">
                  <c:v>-162778.67534284963</c:v>
                </c:pt>
                <c:pt idx="15">
                  <c:v>-147269.23958913534</c:v>
                </c:pt>
                <c:pt idx="16">
                  <c:v>-129946.02731107583</c:v>
                </c:pt>
                <c:pt idx="17">
                  <c:v>-111340.80142024602</c:v>
                </c:pt>
                <c:pt idx="18">
                  <c:v>-90912.150464713166</c:v>
                </c:pt>
                <c:pt idx="19">
                  <c:v>-68655.177702792978</c:v>
                </c:pt>
                <c:pt idx="20">
                  <c:v>-44564.937433738669</c:v>
                </c:pt>
                <c:pt idx="21">
                  <c:v>-19978.539771307376</c:v>
                </c:pt>
                <c:pt idx="22">
                  <c:v>-11787.461958606436</c:v>
                </c:pt>
                <c:pt idx="23">
                  <c:v>-3090.0861248708097</c:v>
                </c:pt>
                <c:pt idx="24">
                  <c:v>6118.7342120151734</c:v>
                </c:pt>
              </c:numCache>
            </c:numRef>
          </c:val>
          <c:smooth val="0"/>
          <c:extLst>
            <c:ext xmlns:c16="http://schemas.microsoft.com/office/drawing/2014/chart" uri="{C3380CC4-5D6E-409C-BE32-E72D297353CC}">
              <c16:uniqueId val="{00000002-5C96-408C-8AB3-08F7176191C0}"/>
            </c:ext>
          </c:extLst>
        </c:ser>
        <c:dLbls>
          <c:showLegendKey val="0"/>
          <c:showVal val="0"/>
          <c:showCatName val="0"/>
          <c:showSerName val="0"/>
          <c:showPercent val="0"/>
          <c:showBubbleSize val="0"/>
        </c:dLbls>
        <c:marker val="1"/>
        <c:smooth val="0"/>
        <c:axId val="363558008"/>
        <c:axId val="363558792"/>
        <c:extLst>
          <c:ext xmlns:c15="http://schemas.microsoft.com/office/drawing/2012/chart" uri="{02D57815-91ED-43cb-92C2-25804820EDAC}">
            <c15:filteredLineSeries>
              <c15:ser>
                <c:idx val="3"/>
                <c:order val="3"/>
                <c:tx>
                  <c:strRef>
                    <c:extLst>
                      <c:ext uri="{02D57815-91ED-43cb-92C2-25804820EDAC}">
                        <c15:formulaRef>
                          <c15:sqref>B1_Calculs!$AK$41</c15:sqref>
                        </c15:formulaRef>
                      </c:ext>
                    </c:extLst>
                    <c:strCache>
                      <c:ptCount val="1"/>
                      <c:pt idx="0">
                        <c:v>Cashflow</c:v>
                      </c:pt>
                    </c:strCache>
                  </c:strRef>
                </c:tx>
                <c:spPr>
                  <a:ln w="25400">
                    <a:solidFill>
                      <a:srgbClr val="00FFFF"/>
                    </a:solidFill>
                    <a:prstDash val="solid"/>
                  </a:ln>
                </c:spPr>
                <c:marker>
                  <c:symbol val="none"/>
                </c:marker>
                <c:cat>
                  <c:numRef>
                    <c:extLst>
                      <c:ex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B1_Calculs!$AK$44:$AK$68</c15:sqref>
                        </c15:formulaRef>
                      </c:ext>
                    </c:extLst>
                    <c:numCache>
                      <c:formatCode>#,##0</c:formatCode>
                      <c:ptCount val="25"/>
                      <c:pt idx="0">
                        <c:v>-40870</c:v>
                      </c:pt>
                      <c:pt idx="1">
                        <c:v>-87513.827710526311</c:v>
                      </c:pt>
                      <c:pt idx="2">
                        <c:v>-48077.518705266732</c:v>
                      </c:pt>
                      <c:pt idx="3">
                        <c:v>24993.15380974405</c:v>
                      </c:pt>
                      <c:pt idx="4">
                        <c:v>54091.229536867468</c:v>
                      </c:pt>
                      <c:pt idx="5">
                        <c:v>55921.045610297762</c:v>
                      </c:pt>
                      <c:pt idx="6">
                        <c:v>41429.637906262185</c:v>
                      </c:pt>
                      <c:pt idx="7">
                        <c:v>43106.154011569743</c:v>
                      </c:pt>
                      <c:pt idx="8">
                        <c:v>52000.135061123408</c:v>
                      </c:pt>
                      <c:pt idx="9">
                        <c:v>60995.65600874956</c:v>
                      </c:pt>
                      <c:pt idx="10">
                        <c:v>62781.612492951564</c:v>
                      </c:pt>
                      <c:pt idx="11">
                        <c:v>64572.091099897923</c:v>
                      </c:pt>
                      <c:pt idx="12">
                        <c:v>66367.137042455084</c:v>
                      </c:pt>
                      <c:pt idx="13">
                        <c:v>68166.795985618781</c:v>
                      </c:pt>
                      <c:pt idx="14">
                        <c:v>69971.114051035838</c:v>
                      </c:pt>
                      <c:pt idx="15">
                        <c:v>71780.137821570097</c:v>
                      </c:pt>
                      <c:pt idx="16">
                        <c:v>73593.914345915255</c:v>
                      </c:pt>
                      <c:pt idx="17">
                        <c:v>75412.491143252235</c:v>
                      </c:pt>
                      <c:pt idx="18">
                        <c:v>77235.916207955277</c:v>
                      </c:pt>
                      <c:pt idx="19">
                        <c:v>79064.238014342613</c:v>
                      </c:pt>
                      <c:pt idx="20">
                        <c:v>80897.505521476734</c:v>
                      </c:pt>
                      <c:pt idx="21">
                        <c:v>126130.50502011686</c:v>
                      </c:pt>
                      <c:pt idx="22">
                        <c:v>126631.70750603586</c:v>
                      </c:pt>
                      <c:pt idx="23">
                        <c:v>127138.00552707055</c:v>
                      </c:pt>
                      <c:pt idx="24">
                        <c:v>127649.45003022091</c:v>
                      </c:pt>
                    </c:numCache>
                  </c:numRef>
                </c:val>
                <c:smooth val="0"/>
                <c:extLst>
                  <c:ext xmlns:c16="http://schemas.microsoft.com/office/drawing/2014/chart" uri="{C3380CC4-5D6E-409C-BE32-E72D297353CC}">
                    <c16:uniqueId val="{00000003-5C96-408C-8AB3-08F7176191C0}"/>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B1_Calculs!$AL$41</c15:sqref>
                        </c15:formulaRef>
                      </c:ext>
                    </c:extLst>
                    <c:strCache>
                      <c:ptCount val="1"/>
                      <c:pt idx="0">
                        <c:v>Cash-flow cumulé</c:v>
                      </c:pt>
                    </c:strCache>
                  </c:strRef>
                </c:tx>
                <c:spPr>
                  <a:ln w="25400">
                    <a:solidFill>
                      <a:srgbClr val="800080"/>
                    </a:solidFill>
                    <a:prstDash val="solid"/>
                  </a:ln>
                </c:spPr>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B1_Calculs!$AL$44:$AL$68</c15:sqref>
                        </c15:formulaRef>
                      </c:ext>
                    </c:extLst>
                    <c:numCache>
                      <c:formatCode>#,##0</c:formatCode>
                      <c:ptCount val="25"/>
                      <c:pt idx="0">
                        <c:v>-40870</c:v>
                      </c:pt>
                      <c:pt idx="1">
                        <c:v>-128383.82771052631</c:v>
                      </c:pt>
                      <c:pt idx="2">
                        <c:v>-176461.34641579306</c:v>
                      </c:pt>
                      <c:pt idx="3">
                        <c:v>-151468.19260604901</c:v>
                      </c:pt>
                      <c:pt idx="4">
                        <c:v>-97376.96306918154</c:v>
                      </c:pt>
                      <c:pt idx="5">
                        <c:v>-41455.917458883778</c:v>
                      </c:pt>
                      <c:pt idx="6">
                        <c:v>-26.279552621592302</c:v>
                      </c:pt>
                      <c:pt idx="7">
                        <c:v>43079.87445894815</c:v>
                      </c:pt>
                      <c:pt idx="8">
                        <c:v>95080.009520071559</c:v>
                      </c:pt>
                      <c:pt idx="9">
                        <c:v>156075.66552882112</c:v>
                      </c:pt>
                      <c:pt idx="10">
                        <c:v>218857.27802177268</c:v>
                      </c:pt>
                      <c:pt idx="11">
                        <c:v>283429.36912167061</c:v>
                      </c:pt>
                      <c:pt idx="12">
                        <c:v>349796.50616412569</c:v>
                      </c:pt>
                      <c:pt idx="13">
                        <c:v>417963.30214974447</c:v>
                      </c:pt>
                      <c:pt idx="14">
                        <c:v>487934.41620078031</c:v>
                      </c:pt>
                      <c:pt idx="15">
                        <c:v>559714.55402235035</c:v>
                      </c:pt>
                      <c:pt idx="16">
                        <c:v>633308.46836826554</c:v>
                      </c:pt>
                      <c:pt idx="17">
                        <c:v>708720.95951151778</c:v>
                      </c:pt>
                      <c:pt idx="18">
                        <c:v>785956.875719473</c:v>
                      </c:pt>
                      <c:pt idx="19">
                        <c:v>865021.11373381561</c:v>
                      </c:pt>
                      <c:pt idx="20">
                        <c:v>945918.61925529235</c:v>
                      </c:pt>
                      <c:pt idx="21">
                        <c:v>1072049.1242754092</c:v>
                      </c:pt>
                      <c:pt idx="22">
                        <c:v>1198680.8317814451</c:v>
                      </c:pt>
                      <c:pt idx="23">
                        <c:v>1325818.8373085156</c:v>
                      </c:pt>
                      <c:pt idx="24">
                        <c:v>1453468.2873387365</c:v>
                      </c:pt>
                    </c:numCache>
                  </c:numRef>
                </c:val>
                <c:smooth val="0"/>
                <c:extLst xmlns:c15="http://schemas.microsoft.com/office/drawing/2012/chart">
                  <c:ext xmlns:c16="http://schemas.microsoft.com/office/drawing/2014/chart" uri="{C3380CC4-5D6E-409C-BE32-E72D297353CC}">
                    <c16:uniqueId val="{00000004-5C96-408C-8AB3-08F7176191C0}"/>
                  </c:ext>
                </c:extLst>
              </c15:ser>
            </c15:filteredLineSeries>
            <c15:filteredLineSeries>
              <c15:ser>
                <c:idx val="0"/>
                <c:order val="5"/>
                <c:tx>
                  <c:strRef>
                    <c:extLst xmlns:c15="http://schemas.microsoft.com/office/drawing/2012/chart">
                      <c:ext xmlns:c15="http://schemas.microsoft.com/office/drawing/2012/chart" uri="{02D57815-91ED-43cb-92C2-25804820EDAC}">
                        <c15:formulaRef>
                          <c15:sqref>B1_Calculs!$AO$41</c15:sqref>
                        </c15:formulaRef>
                      </c:ext>
                    </c:extLst>
                    <c:strCache>
                      <c:ptCount val="1"/>
                      <c:pt idx="0">
                        <c:v>Bénéfice net /
Perte nette</c:v>
                      </c:pt>
                    </c:strCache>
                  </c:strRef>
                </c:tx>
                <c:marker>
                  <c:symbol val="none"/>
                </c:marker>
                <c:cat>
                  <c:numRef>
                    <c:extLst xmlns:c15="http://schemas.microsoft.com/office/drawing/2012/chart">
                      <c:ext xmlns:c15="http://schemas.microsoft.com/office/drawing/2012/char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xmlns:c15="http://schemas.microsoft.com/office/drawing/2012/chart">
                      <c:ext xmlns:c15="http://schemas.microsoft.com/office/drawing/2012/chart" uri="{02D57815-91ED-43cb-92C2-25804820EDAC}">
                        <c15:formulaRef>
                          <c15:sqref>B1_Calculs!$AO$44:$AO$68</c15:sqref>
                        </c15:formulaRef>
                      </c:ext>
                    </c:extLst>
                    <c:numCache>
                      <c:formatCode>#,##0</c:formatCode>
                      <c:ptCount val="25"/>
                      <c:pt idx="0">
                        <c:v>-40870</c:v>
                      </c:pt>
                      <c:pt idx="1">
                        <c:v>-87513.827710526311</c:v>
                      </c:pt>
                      <c:pt idx="2">
                        <c:v>-84146.711938498687</c:v>
                      </c:pt>
                      <c:pt idx="3">
                        <c:v>-11076.039423487906</c:v>
                      </c:pt>
                      <c:pt idx="4">
                        <c:v>18022.036303635454</c:v>
                      </c:pt>
                      <c:pt idx="5">
                        <c:v>19851.852377065807</c:v>
                      </c:pt>
                      <c:pt idx="6">
                        <c:v>-14841.064161593618</c:v>
                      </c:pt>
                      <c:pt idx="7">
                        <c:v>-13164.548056286061</c:v>
                      </c:pt>
                      <c:pt idx="8">
                        <c:v>-4270.5670067323372</c:v>
                      </c:pt>
                      <c:pt idx="9">
                        <c:v>4724.9539408937562</c:v>
                      </c:pt>
                      <c:pt idx="10">
                        <c:v>6510.9104250958189</c:v>
                      </c:pt>
                      <c:pt idx="11">
                        <c:v>8301.3890320421197</c:v>
                      </c:pt>
                      <c:pt idx="12">
                        <c:v>10096.43497459928</c:v>
                      </c:pt>
                      <c:pt idx="13">
                        <c:v>11896.093917762977</c:v>
                      </c:pt>
                      <c:pt idx="14">
                        <c:v>13700.411983180093</c:v>
                      </c:pt>
                      <c:pt idx="15">
                        <c:v>15509.435753714293</c:v>
                      </c:pt>
                      <c:pt idx="16">
                        <c:v>17323.212278059509</c:v>
                      </c:pt>
                      <c:pt idx="17">
                        <c:v>18605.22589082981</c:v>
                      </c:pt>
                      <c:pt idx="18">
                        <c:v>20428.650955532852</c:v>
                      </c:pt>
                      <c:pt idx="19">
                        <c:v>22256.972761920188</c:v>
                      </c:pt>
                      <c:pt idx="20">
                        <c:v>24090.240269054309</c:v>
                      </c:pt>
                      <c:pt idx="21">
                        <c:v>24586.397662431293</c:v>
                      </c:pt>
                      <c:pt idx="22">
                        <c:v>8191.0778127009398</c:v>
                      </c:pt>
                      <c:pt idx="23">
                        <c:v>8697.3758337356267</c:v>
                      </c:pt>
                      <c:pt idx="24">
                        <c:v>9208.8203368859831</c:v>
                      </c:pt>
                    </c:numCache>
                  </c:numRef>
                </c:val>
                <c:smooth val="0"/>
                <c:extLst xmlns:c15="http://schemas.microsoft.com/office/drawing/2012/chart">
                  <c:ext xmlns:c16="http://schemas.microsoft.com/office/drawing/2014/chart" uri="{C3380CC4-5D6E-409C-BE32-E72D297353CC}">
                    <c16:uniqueId val="{00000005-5C96-408C-8AB3-08F7176191C0}"/>
                  </c:ext>
                </c:extLst>
              </c15:ser>
            </c15:filteredLineSeries>
          </c:ext>
        </c:extLst>
      </c:lineChart>
      <c:catAx>
        <c:axId val="363558008"/>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363558792"/>
        <c:crosses val="autoZero"/>
        <c:auto val="1"/>
        <c:lblAlgn val="ctr"/>
        <c:lblOffset val="100"/>
        <c:tickLblSkip val="1"/>
        <c:tickMarkSkip val="1"/>
        <c:noMultiLvlLbl val="0"/>
      </c:catAx>
      <c:valAx>
        <c:axId val="363558792"/>
        <c:scaling>
          <c:orientation val="minMax"/>
        </c:scaling>
        <c:delete val="0"/>
        <c:axPos val="l"/>
        <c:majorGridlines>
          <c:spPr>
            <a:ln w="3175">
              <a:solidFill>
                <a:srgbClr val="000000"/>
              </a:solidFill>
              <a:prstDash val="solid"/>
            </a:ln>
          </c:spPr>
        </c:majorGridlines>
        <c:title>
          <c:tx>
            <c:rich>
              <a:bodyPr/>
              <a:lstStyle/>
              <a:p>
                <a:pPr>
                  <a:defRPr sz="1000"/>
                </a:pPr>
                <a:r>
                  <a:rPr lang="de-DE" sz="1000"/>
                  <a:t>Montant [CHF]</a:t>
                </a:r>
              </a:p>
            </c:rich>
          </c:tx>
          <c:layout>
            <c:manualLayout>
              <c:xMode val="edge"/>
              <c:yMode val="edge"/>
              <c:x val="1.953125E-2"/>
              <c:y val="0.3883340332458439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58008"/>
        <c:crosses val="autoZero"/>
        <c:crossBetween val="between"/>
      </c:valAx>
      <c:spPr>
        <a:noFill/>
        <a:ln w="12700">
          <a:solidFill>
            <a:schemeClr val="tx1"/>
          </a:solidFill>
          <a:prstDash val="solid"/>
        </a:ln>
      </c:spPr>
    </c:plotArea>
    <c:legend>
      <c:legendPos val="b"/>
      <c:layout>
        <c:manualLayout>
          <c:xMode val="edge"/>
          <c:yMode val="edge"/>
          <c:x val="3.125E-2"/>
          <c:y val="0.94500157480314995"/>
          <c:w val="0.76531053240740743"/>
          <c:h val="4.728107029850817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56269844203699"/>
          <c:y val="5.4558033802260097E-2"/>
          <c:w val="0.81226221722284719"/>
          <c:h val="0.62609908077610976"/>
        </c:manualLayout>
      </c:layout>
      <c:areaChart>
        <c:grouping val="standard"/>
        <c:varyColors val="0"/>
        <c:ser>
          <c:idx val="1"/>
          <c:order val="0"/>
          <c:tx>
            <c:strRef>
              <c:f>B1_Calculs!$C$41</c:f>
              <c:strCache>
                <c:ptCount val="1"/>
                <c:pt idx="0">
                  <c:v>Besoin de chaleur, déperditions réseau incl.</c:v>
                </c:pt>
              </c:strCache>
            </c:strRef>
          </c:tx>
          <c:spPr>
            <a:solidFill>
              <a:schemeClr val="accent1">
                <a:lumMod val="40000"/>
                <a:lumOff val="60000"/>
              </a:schemeClr>
            </a:solidFill>
            <a:ln>
              <a:solidFill>
                <a:schemeClr val="accent1"/>
              </a:solidFill>
            </a:ln>
            <a:effectLst/>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B1_Calculs!$C$44:$C$68</c:f>
              <c:numCache>
                <c:formatCode>#,##0</c:formatCode>
                <c:ptCount val="25"/>
                <c:pt idx="0">
                  <c:v>0</c:v>
                </c:pt>
                <c:pt idx="1">
                  <c:v>429</c:v>
                </c:pt>
                <c:pt idx="2">
                  <c:v>1415.1555000000001</c:v>
                </c:pt>
                <c:pt idx="3">
                  <c:v>2119.5642599999996</c:v>
                </c:pt>
                <c:pt idx="4">
                  <c:v>2372.6721447</c:v>
                </c:pt>
                <c:pt idx="5">
                  <c:v>2348.9454232529997</c:v>
                </c:pt>
                <c:pt idx="6">
                  <c:v>2325.4559690204696</c:v>
                </c:pt>
                <c:pt idx="7">
                  <c:v>2302.2014093302651</c:v>
                </c:pt>
                <c:pt idx="8">
                  <c:v>2345.8220676123119</c:v>
                </c:pt>
                <c:pt idx="9">
                  <c:v>2388.340092587785</c:v>
                </c:pt>
                <c:pt idx="10">
                  <c:v>2364.4566916619074</c:v>
                </c:pt>
                <c:pt idx="11">
                  <c:v>2340.8121247452882</c:v>
                </c:pt>
                <c:pt idx="12">
                  <c:v>2317.4040034978352</c:v>
                </c:pt>
                <c:pt idx="13">
                  <c:v>2294.2299634628566</c:v>
                </c:pt>
                <c:pt idx="14">
                  <c:v>2271.2876638282282</c:v>
                </c:pt>
                <c:pt idx="15">
                  <c:v>2248.5747871899462</c:v>
                </c:pt>
                <c:pt idx="16">
                  <c:v>2226.0890393180466</c:v>
                </c:pt>
                <c:pt idx="17">
                  <c:v>2203.8281489248661</c:v>
                </c:pt>
                <c:pt idx="18">
                  <c:v>2181.7898674356175</c:v>
                </c:pt>
                <c:pt idx="19">
                  <c:v>2159.971968761261</c:v>
                </c:pt>
                <c:pt idx="20">
                  <c:v>2138.3722490736486</c:v>
                </c:pt>
                <c:pt idx="21">
                  <c:v>2116.9885265829121</c:v>
                </c:pt>
                <c:pt idx="22">
                  <c:v>2095.8186413170824</c:v>
                </c:pt>
                <c:pt idx="23">
                  <c:v>2074.8604549039119</c:v>
                </c:pt>
                <c:pt idx="24">
                  <c:v>2054.1118503548728</c:v>
                </c:pt>
              </c:numCache>
            </c:numRef>
          </c:val>
          <c:extLst>
            <c:ext xmlns:c16="http://schemas.microsoft.com/office/drawing/2014/chart" uri="{C3380CC4-5D6E-409C-BE32-E72D297353CC}">
              <c16:uniqueId val="{00000000-BF58-4DD5-B6E9-AE1EE2818305}"/>
            </c:ext>
          </c:extLst>
        </c:ser>
        <c:dLbls>
          <c:showLegendKey val="0"/>
          <c:showVal val="0"/>
          <c:showCatName val="0"/>
          <c:showSerName val="0"/>
          <c:showPercent val="0"/>
          <c:showBubbleSize val="0"/>
        </c:dLbls>
        <c:axId val="363559968"/>
        <c:axId val="363560752"/>
      </c:areaChart>
      <c:catAx>
        <c:axId val="363559968"/>
        <c:scaling>
          <c:orientation val="minMax"/>
        </c:scaling>
        <c:delete val="0"/>
        <c:axPos val="b"/>
        <c:numFmt formatCode="0" sourceLinked="1"/>
        <c:majorTickMark val="out"/>
        <c:minorTickMark val="none"/>
        <c:tickLblPos val="nextTo"/>
        <c:spPr>
          <a:noFill/>
          <a:ln w="9525" cap="flat" cmpd="sng" algn="ctr">
            <a:solidFill>
              <a:schemeClr val="tx1"/>
            </a:solidFill>
            <a:round/>
          </a:ln>
          <a:effectLst/>
        </c:spPr>
        <c:txPr>
          <a:bodyPr rot="-27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de-DE"/>
          </a:p>
        </c:txPr>
        <c:crossAx val="363560752"/>
        <c:crosses val="autoZero"/>
        <c:auto val="1"/>
        <c:lblAlgn val="ctr"/>
        <c:lblOffset val="100"/>
        <c:tickLblSkip val="1"/>
        <c:noMultiLvlLbl val="0"/>
      </c:catAx>
      <c:valAx>
        <c:axId val="363560752"/>
        <c:scaling>
          <c:orientation val="minMax"/>
        </c:scaling>
        <c:delete val="0"/>
        <c:axPos val="l"/>
        <c:majorGridlines>
          <c:spPr>
            <a:ln w="9525" cap="flat" cmpd="sng" algn="ctr">
              <a:solidFill>
                <a:schemeClr val="tx1"/>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de-CH">
                    <a:solidFill>
                      <a:sysClr val="windowText" lastClr="000000"/>
                    </a:solidFill>
                  </a:rPr>
                  <a:t>Besions en chaleur </a:t>
                </a:r>
                <a:r>
                  <a:rPr lang="de-CH"/>
                  <a:t>[MWh/an]</a:t>
                </a:r>
              </a:p>
            </c:rich>
          </c:tx>
          <c:layout>
            <c:manualLayout>
              <c:xMode val="edge"/>
              <c:yMode val="edge"/>
              <c:x val="2.6389952622042499E-2"/>
              <c:y val="0.14657617588596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title>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crossAx val="363559968"/>
        <c:crosses val="autoZero"/>
        <c:crossBetween val="midCat"/>
      </c:valAx>
      <c:spPr>
        <a:noFill/>
        <a:ln>
          <a:solidFill>
            <a:sysClr val="windowText" lastClr="000000"/>
          </a:solidFill>
        </a:ln>
        <a:effectLst/>
      </c:spPr>
    </c:plotArea>
    <c:legend>
      <c:legendPos val="b"/>
      <c:layout>
        <c:manualLayout>
          <c:xMode val="edge"/>
          <c:yMode val="edge"/>
          <c:x val="0.27207063402788939"/>
          <c:y val="0.88238263104141301"/>
          <c:w val="0.53749120645633586"/>
          <c:h val="0.10088096728494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legend>
    <c:plotVisOnly val="1"/>
    <c:dispBlanksAs val="zero"/>
    <c:showDLblsOverMax val="0"/>
  </c:chart>
  <c:spPr>
    <a:solidFill>
      <a:schemeClr val="bg1"/>
    </a:solidFill>
    <a:ln w="9525" cap="flat" cmpd="sng" algn="ctr">
      <a:noFill/>
      <a:round/>
    </a:ln>
    <a:effectLst/>
  </c:spPr>
  <c:txPr>
    <a:bodyPr/>
    <a:lstStyle/>
    <a:p>
      <a:pPr>
        <a:defRPr sz="1000">
          <a:solidFill>
            <a:sysClr val="windowText" lastClr="000000"/>
          </a:solidFill>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789812721392159"/>
          <c:y val="6.3769425048284062E-2"/>
          <c:w val="0.83438843655335382"/>
          <c:h val="0.73831074394389229"/>
        </c:manualLayout>
      </c:layout>
      <c:barChart>
        <c:barDir val="col"/>
        <c:grouping val="clustered"/>
        <c:varyColors val="0"/>
        <c:ser>
          <c:idx val="1"/>
          <c:order val="0"/>
          <c:tx>
            <c:strRef>
              <c:f>B1_Calculs!$AN$41</c:f>
              <c:strCache>
                <c:ptCount val="1"/>
                <c:pt idx="0">
                  <c:v>Total des charges, y compris amortissement</c:v>
                </c:pt>
              </c:strCache>
            </c:strRef>
          </c:tx>
          <c:spPr>
            <a:solidFill>
              <a:schemeClr val="accent1"/>
            </a:solidFill>
            <a:ln w="12700">
              <a:solidFill>
                <a:schemeClr val="accent1"/>
              </a:solid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B1_Calculs!$AN$44:$AN$68</c:f>
              <c:numCache>
                <c:formatCode>#,##0</c:formatCode>
                <c:ptCount val="25"/>
                <c:pt idx="0">
                  <c:v>40870</c:v>
                </c:pt>
                <c:pt idx="1">
                  <c:v>147578.52771052631</c:v>
                </c:pt>
                <c:pt idx="2">
                  <c:v>294689.22623799869</c:v>
                </c:pt>
                <c:pt idx="3">
                  <c:v>337486.5063712913</c:v>
                </c:pt>
                <c:pt idx="4">
                  <c:v>353765.47743087541</c:v>
                </c:pt>
                <c:pt idx="5">
                  <c:v>353409.20445208531</c:v>
                </c:pt>
                <c:pt idx="6">
                  <c:v>389590.62394953577</c:v>
                </c:pt>
                <c:pt idx="7">
                  <c:v>389417.72024336795</c:v>
                </c:pt>
                <c:pt idx="8">
                  <c:v>393464.41193550918</c:v>
                </c:pt>
                <c:pt idx="9">
                  <c:v>397522.21782442182</c:v>
                </c:pt>
                <c:pt idx="10">
                  <c:v>397384.34107952169</c:v>
                </c:pt>
                <c:pt idx="11">
                  <c:v>397258.66044846817</c:v>
                </c:pt>
                <c:pt idx="12">
                  <c:v>397145.29787701671</c:v>
                </c:pt>
                <c:pt idx="13">
                  <c:v>397044.37653038208</c:v>
                </c:pt>
                <c:pt idx="14">
                  <c:v>396956.02080543258</c:v>
                </c:pt>
                <c:pt idx="15">
                  <c:v>396880.35634300695</c:v>
                </c:pt>
                <c:pt idx="16">
                  <c:v>396817.51004035352</c:v>
                </c:pt>
                <c:pt idx="17">
                  <c:v>397304.1732482618</c:v>
                </c:pt>
                <c:pt idx="18">
                  <c:v>397267.34904548438</c:v>
                </c:pt>
                <c:pt idx="19">
                  <c:v>397243.7313589548</c:v>
                </c:pt>
                <c:pt idx="20">
                  <c:v>397233.45223846508</c:v>
                </c:pt>
                <c:pt idx="21">
                  <c:v>398578.75031746435</c:v>
                </c:pt>
                <c:pt idx="22">
                  <c:v>416834.17737244006</c:v>
                </c:pt>
                <c:pt idx="23">
                  <c:v>418206.82478313061</c:v>
                </c:pt>
                <c:pt idx="24">
                  <c:v>419593.35229673481</c:v>
                </c:pt>
              </c:numCache>
            </c:numRef>
          </c:val>
          <c:extLst>
            <c:ext xmlns:c16="http://schemas.microsoft.com/office/drawing/2014/chart" uri="{C3380CC4-5D6E-409C-BE32-E72D297353CC}">
              <c16:uniqueId val="{00000000-53BE-433E-829B-32533F4DBF6D}"/>
            </c:ext>
          </c:extLst>
        </c:ser>
        <c:ser>
          <c:idx val="2"/>
          <c:order val="1"/>
          <c:tx>
            <c:strRef>
              <c:f>B1_Calculs!$N$39</c:f>
              <c:strCache>
                <c:ptCount val="1"/>
                <c:pt idx="0">
                  <c:v>Recettes</c:v>
                </c:pt>
              </c:strCache>
            </c:strRef>
          </c:tx>
          <c:spPr>
            <a:solidFill>
              <a:schemeClr val="accent6">
                <a:lumMod val="60000"/>
                <a:lumOff val="40000"/>
              </a:schemeClr>
            </a:solidFill>
            <a:ln w="12700">
              <a:solidFill>
                <a:schemeClr val="accent6"/>
              </a:solidFill>
              <a:prstDash val="solid"/>
            </a:ln>
          </c:spPr>
          <c:invertIfNegative val="0"/>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B1_Calculs!$T$44:$T$68</c:f>
              <c:numCache>
                <c:formatCode>#,##0</c:formatCode>
                <c:ptCount val="25"/>
                <c:pt idx="0">
                  <c:v>0</c:v>
                </c:pt>
                <c:pt idx="1">
                  <c:v>60064.7</c:v>
                </c:pt>
                <c:pt idx="2">
                  <c:v>210542.51429950001</c:v>
                </c:pt>
                <c:pt idx="3">
                  <c:v>326410.46694780339</c:v>
                </c:pt>
                <c:pt idx="4">
                  <c:v>371787.51373451087</c:v>
                </c:pt>
                <c:pt idx="5">
                  <c:v>373261.05682915112</c:v>
                </c:pt>
                <c:pt idx="6">
                  <c:v>374749.55978794215</c:v>
                </c:pt>
                <c:pt idx="7">
                  <c:v>376253.17218708189</c:v>
                </c:pt>
                <c:pt idx="8">
                  <c:v>389193.84492877685</c:v>
                </c:pt>
                <c:pt idx="9">
                  <c:v>402247.17176531558</c:v>
                </c:pt>
                <c:pt idx="10">
                  <c:v>403895.25150461751</c:v>
                </c:pt>
                <c:pt idx="11">
                  <c:v>405560.04948051029</c:v>
                </c:pt>
                <c:pt idx="12">
                  <c:v>407241.73285161599</c:v>
                </c:pt>
                <c:pt idx="13">
                  <c:v>408940.47044814506</c:v>
                </c:pt>
                <c:pt idx="14">
                  <c:v>410656.43278861267</c:v>
                </c:pt>
                <c:pt idx="15">
                  <c:v>412389.79209672124</c:v>
                </c:pt>
                <c:pt idx="16">
                  <c:v>414140.72231841303</c:v>
                </c:pt>
                <c:pt idx="17">
                  <c:v>415909.39913909161</c:v>
                </c:pt>
                <c:pt idx="18">
                  <c:v>417696.00000101724</c:v>
                </c:pt>
                <c:pt idx="19">
                  <c:v>419500.70412087499</c:v>
                </c:pt>
                <c:pt idx="20">
                  <c:v>421323.69250751939</c:v>
                </c:pt>
                <c:pt idx="21">
                  <c:v>423165.14797989564</c:v>
                </c:pt>
                <c:pt idx="22">
                  <c:v>425025.255185141</c:v>
                </c:pt>
                <c:pt idx="23">
                  <c:v>426904.20061686623</c:v>
                </c:pt>
                <c:pt idx="24">
                  <c:v>428802.17263362079</c:v>
                </c:pt>
              </c:numCache>
            </c:numRef>
          </c:val>
          <c:extLst>
            <c:ext xmlns:c16="http://schemas.microsoft.com/office/drawing/2014/chart" uri="{C3380CC4-5D6E-409C-BE32-E72D297353CC}">
              <c16:uniqueId val="{00000001-53BE-433E-829B-32533F4DBF6D}"/>
            </c:ext>
          </c:extLst>
        </c:ser>
        <c:dLbls>
          <c:showLegendKey val="0"/>
          <c:showVal val="0"/>
          <c:showCatName val="0"/>
          <c:showSerName val="0"/>
          <c:showPercent val="0"/>
          <c:showBubbleSize val="0"/>
        </c:dLbls>
        <c:gapWidth val="150"/>
        <c:axId val="363560360"/>
        <c:axId val="878606712"/>
      </c:barChart>
      <c:lineChart>
        <c:grouping val="standard"/>
        <c:varyColors val="0"/>
        <c:ser>
          <c:idx val="0"/>
          <c:order val="2"/>
          <c:tx>
            <c:strRef>
              <c:f>B1_Calculs!$AP$41</c:f>
              <c:strCache>
                <c:ptCount val="1"/>
                <c:pt idx="0">
                  <c:v>Bénéfice / Perte cumulé(e)</c:v>
                </c:pt>
              </c:strCache>
            </c:strRef>
          </c:tx>
          <c:spPr>
            <a:ln w="19050">
              <a:solidFill>
                <a:schemeClr val="accent1">
                  <a:lumMod val="75000"/>
                </a:schemeClr>
              </a:solidFill>
            </a:ln>
          </c:spPr>
          <c:marker>
            <c:symbol val="none"/>
          </c:marke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B1_Calculs!$AP$44:$AP$68</c:f>
              <c:numCache>
                <c:formatCode>#,##0</c:formatCode>
                <c:ptCount val="25"/>
                <c:pt idx="0">
                  <c:v>-40870</c:v>
                </c:pt>
                <c:pt idx="1">
                  <c:v>-128383.82771052631</c:v>
                </c:pt>
                <c:pt idx="2">
                  <c:v>-212530.53964902501</c:v>
                </c:pt>
                <c:pt idx="3">
                  <c:v>-223606.57907251292</c:v>
                </c:pt>
                <c:pt idx="4">
                  <c:v>-205584.54276887747</c:v>
                </c:pt>
                <c:pt idx="5">
                  <c:v>-185732.69039181166</c:v>
                </c:pt>
                <c:pt idx="6">
                  <c:v>-200573.75455340528</c:v>
                </c:pt>
                <c:pt idx="7">
                  <c:v>-213738.30260969134</c:v>
                </c:pt>
                <c:pt idx="8">
                  <c:v>-218008.86961642368</c:v>
                </c:pt>
                <c:pt idx="9">
                  <c:v>-213283.91567552992</c:v>
                </c:pt>
                <c:pt idx="10">
                  <c:v>-206773.0052504341</c:v>
                </c:pt>
                <c:pt idx="11">
                  <c:v>-198471.61621839198</c:v>
                </c:pt>
                <c:pt idx="12">
                  <c:v>-188375.1812437927</c:v>
                </c:pt>
                <c:pt idx="13">
                  <c:v>-176479.08732602972</c:v>
                </c:pt>
                <c:pt idx="14">
                  <c:v>-162778.67534284963</c:v>
                </c:pt>
                <c:pt idx="15">
                  <c:v>-147269.23958913534</c:v>
                </c:pt>
                <c:pt idx="16">
                  <c:v>-129946.02731107583</c:v>
                </c:pt>
                <c:pt idx="17">
                  <c:v>-111340.80142024602</c:v>
                </c:pt>
                <c:pt idx="18">
                  <c:v>-90912.150464713166</c:v>
                </c:pt>
                <c:pt idx="19">
                  <c:v>-68655.177702792978</c:v>
                </c:pt>
                <c:pt idx="20">
                  <c:v>-44564.937433738669</c:v>
                </c:pt>
                <c:pt idx="21">
                  <c:v>-19978.539771307376</c:v>
                </c:pt>
                <c:pt idx="22">
                  <c:v>-11787.461958606436</c:v>
                </c:pt>
                <c:pt idx="23">
                  <c:v>-3090.0861248708097</c:v>
                </c:pt>
                <c:pt idx="24">
                  <c:v>6118.7342120151734</c:v>
                </c:pt>
              </c:numCache>
            </c:numRef>
          </c:val>
          <c:smooth val="0"/>
          <c:extLst>
            <c:ext xmlns:c16="http://schemas.microsoft.com/office/drawing/2014/chart" uri="{C3380CC4-5D6E-409C-BE32-E72D297353CC}">
              <c16:uniqueId val="{00000000-02BB-40AC-AABA-A3EC3CBE052F}"/>
            </c:ext>
          </c:extLst>
        </c:ser>
        <c:dLbls>
          <c:showLegendKey val="0"/>
          <c:showVal val="0"/>
          <c:showCatName val="0"/>
          <c:showSerName val="0"/>
          <c:showPercent val="0"/>
          <c:showBubbleSize val="0"/>
        </c:dLbls>
        <c:marker val="1"/>
        <c:smooth val="0"/>
        <c:axId val="363560360"/>
        <c:axId val="878606712"/>
        <c:extLst/>
      </c:lineChart>
      <c:catAx>
        <c:axId val="363560360"/>
        <c:scaling>
          <c:orientation val="minMax"/>
        </c:scaling>
        <c:delete val="0"/>
        <c:axPos val="b"/>
        <c:numFmt formatCode="0" sourceLinked="1"/>
        <c:majorTickMark val="none"/>
        <c:minorTickMark val="none"/>
        <c:tickLblPos val="low"/>
        <c:spPr>
          <a:ln w="3175">
            <a:solidFill>
              <a:srgbClr val="000000"/>
            </a:solidFill>
            <a:prstDash val="solid"/>
          </a:ln>
        </c:spPr>
        <c:txPr>
          <a:bodyPr rot="-2400000" vert="horz"/>
          <a:lstStyle/>
          <a:p>
            <a:pPr>
              <a:defRPr sz="1000"/>
            </a:pPr>
            <a:endParaRPr lang="de-DE"/>
          </a:p>
        </c:txPr>
        <c:crossAx val="878606712"/>
        <c:crosses val="autoZero"/>
        <c:auto val="1"/>
        <c:lblAlgn val="ctr"/>
        <c:lblOffset val="100"/>
        <c:tickLblSkip val="1"/>
        <c:tickMarkSkip val="1"/>
        <c:noMultiLvlLbl val="0"/>
      </c:catAx>
      <c:valAx>
        <c:axId val="878606712"/>
        <c:scaling>
          <c:orientation val="minMax"/>
        </c:scaling>
        <c:delete val="0"/>
        <c:axPos val="l"/>
        <c:majorGridlines>
          <c:spPr>
            <a:ln w="3175">
              <a:solidFill>
                <a:srgbClr val="000000"/>
              </a:solidFill>
              <a:prstDash val="solid"/>
            </a:ln>
          </c:spPr>
        </c:majorGridlines>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rgbClr val="000000"/>
                    </a:solidFill>
                    <a:latin typeface="+mn-lt"/>
                    <a:ea typeface="Arial"/>
                    <a:cs typeface="Arial"/>
                  </a:defRPr>
                </a:pPr>
                <a:r>
                  <a:rPr lang="de-DE" sz="1000" b="0" i="0" u="none" strike="noStrike" kern="1200" baseline="0">
                    <a:solidFill>
                      <a:srgbClr val="000000"/>
                    </a:solidFill>
                    <a:ea typeface="Arial"/>
                    <a:cs typeface="Arial"/>
                  </a:rPr>
                  <a:t>Montant [CHF]</a:t>
                </a:r>
              </a:p>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rgbClr val="000000"/>
                    </a:solidFill>
                    <a:latin typeface="+mn-lt"/>
                    <a:ea typeface="Arial"/>
                    <a:cs typeface="Arial"/>
                  </a:defRPr>
                </a:pPr>
                <a:endParaRPr lang="de-DE" sz="1000"/>
              </a:p>
            </c:rich>
          </c:tx>
          <c:layout>
            <c:manualLayout>
              <c:xMode val="edge"/>
              <c:yMode val="edge"/>
              <c:x val="8.1353149587787485E-3"/>
              <c:y val="0.3489898025041951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363560360"/>
        <c:crosses val="autoZero"/>
        <c:crossBetween val="between"/>
      </c:valAx>
      <c:spPr>
        <a:noFill/>
        <a:ln w="12700">
          <a:solidFill>
            <a:schemeClr val="tx1"/>
          </a:solidFill>
          <a:prstDash val="solid"/>
        </a:ln>
      </c:spPr>
    </c:plotArea>
    <c:legend>
      <c:legendPos val="b"/>
      <c:layout>
        <c:manualLayout>
          <c:xMode val="edge"/>
          <c:yMode val="edge"/>
          <c:x val="6.0061156199844382E-3"/>
          <c:y val="0.94500157480314995"/>
          <c:w val="0.98254760638999528"/>
          <c:h val="5.4998522535676421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no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914787689808324"/>
          <c:y val="3.2291646889812869E-2"/>
          <c:w val="0.80839458295666455"/>
          <c:h val="0.63794449851071988"/>
        </c:manualLayout>
      </c:layout>
      <c:areaChart>
        <c:grouping val="standard"/>
        <c:varyColors val="0"/>
        <c:ser>
          <c:idx val="0"/>
          <c:order val="0"/>
          <c:tx>
            <c:strRef>
              <c:f>B1_Calculs!$AR$41</c:f>
              <c:strCache>
                <c:ptCount val="1"/>
                <c:pt idx="0">
                  <c:v>Solde du crédit</c:v>
                </c:pt>
              </c:strCache>
            </c:strRef>
          </c:tx>
          <c:spPr>
            <a:solidFill>
              <a:schemeClr val="accent1">
                <a:lumMod val="60000"/>
                <a:lumOff val="40000"/>
              </a:schemeClr>
            </a:solidFill>
            <a:ln w="12700">
              <a:solidFill>
                <a:schemeClr val="accent1"/>
              </a:solidFill>
              <a:prstDash val="solid"/>
            </a:ln>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B1_Calculs!$AR$44:$AR$68</c:f>
              <c:numCache>
                <c:formatCode>#,##0</c:formatCode>
                <c:ptCount val="25"/>
                <c:pt idx="0">
                  <c:v>-418000</c:v>
                </c:pt>
                <c:pt idx="1">
                  <c:v>-1350000</c:v>
                </c:pt>
                <c:pt idx="2">
                  <c:v>-1305263.1578947369</c:v>
                </c:pt>
                <c:pt idx="3">
                  <c:v>-1260526.3157894737</c:v>
                </c:pt>
                <c:pt idx="4">
                  <c:v>-1215789.4736842106</c:v>
                </c:pt>
                <c:pt idx="5">
                  <c:v>-1171052.6315789474</c:v>
                </c:pt>
                <c:pt idx="6">
                  <c:v>-1126315.7894736843</c:v>
                </c:pt>
                <c:pt idx="7">
                  <c:v>-1081578.9473684211</c:v>
                </c:pt>
                <c:pt idx="8">
                  <c:v>-1036842.105263158</c:v>
                </c:pt>
                <c:pt idx="9">
                  <c:v>-992105.26315789483</c:v>
                </c:pt>
                <c:pt idx="10">
                  <c:v>-947368.42105263169</c:v>
                </c:pt>
                <c:pt idx="11">
                  <c:v>-902631.57894736854</c:v>
                </c:pt>
                <c:pt idx="12">
                  <c:v>-857894.7368421054</c:v>
                </c:pt>
                <c:pt idx="13">
                  <c:v>-813157.89473684225</c:v>
                </c:pt>
                <c:pt idx="14">
                  <c:v>-768421.05263157911</c:v>
                </c:pt>
                <c:pt idx="15">
                  <c:v>-723684.21052631596</c:v>
                </c:pt>
                <c:pt idx="16">
                  <c:v>-678947.36842105282</c:v>
                </c:pt>
                <c:pt idx="17">
                  <c:v>-634210.52631578967</c:v>
                </c:pt>
                <c:pt idx="18">
                  <c:v>-589473.68421052652</c:v>
                </c:pt>
                <c:pt idx="19">
                  <c:v>-544736.84210526338</c:v>
                </c:pt>
                <c:pt idx="20">
                  <c:v>-500000.00000000017</c:v>
                </c:pt>
                <c:pt idx="21">
                  <c:v>-500000.00000000017</c:v>
                </c:pt>
                <c:pt idx="22">
                  <c:v>-500000.00000000017</c:v>
                </c:pt>
                <c:pt idx="23">
                  <c:v>-500000.00000000017</c:v>
                </c:pt>
                <c:pt idx="24">
                  <c:v>-500000.00000000017</c:v>
                </c:pt>
              </c:numCache>
            </c:numRef>
          </c:val>
          <c:extLst>
            <c:ext xmlns:c16="http://schemas.microsoft.com/office/drawing/2014/chart" uri="{C3380CC4-5D6E-409C-BE32-E72D297353CC}">
              <c16:uniqueId val="{00000000-9DD1-4CC9-A52B-7F4ED61E9DD0}"/>
            </c:ext>
          </c:extLst>
        </c:ser>
        <c:ser>
          <c:idx val="5"/>
          <c:order val="1"/>
          <c:tx>
            <c:strRef>
              <c:f>B1_Calculs!$AQ$41</c:f>
              <c:strCache>
                <c:ptCount val="1"/>
                <c:pt idx="0">
                  <c:v>Valeur résiduelle des installations</c:v>
                </c:pt>
              </c:strCache>
            </c:strRef>
          </c:tx>
          <c:spPr>
            <a:solidFill>
              <a:schemeClr val="accent6">
                <a:lumMod val="60000"/>
                <a:lumOff val="40000"/>
              </a:schemeClr>
            </a:solidFill>
            <a:ln w="12700">
              <a:solidFill>
                <a:schemeClr val="accent6"/>
              </a:solidFill>
            </a:ln>
          </c:spPr>
          <c:cat>
            <c:numRef>
              <c:f>B1_Calculs!$B$44:$B$68</c:f>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f>B1_Calculs!$AQ$44:$AQ$68</c:f>
              <c:numCache>
                <c:formatCode>#,##0</c:formatCode>
                <c:ptCount val="25"/>
                <c:pt idx="0">
                  <c:v>723000</c:v>
                </c:pt>
                <c:pt idx="1">
                  <c:v>1687000</c:v>
                </c:pt>
                <c:pt idx="2">
                  <c:v>1847193.9646615048</c:v>
                </c:pt>
                <c:pt idx="3">
                  <c:v>1766387.9293230097</c:v>
                </c:pt>
                <c:pt idx="4">
                  <c:v>1685581.8939845145</c:v>
                </c:pt>
                <c:pt idx="5">
                  <c:v>1604775.8586460194</c:v>
                </c:pt>
                <c:pt idx="6">
                  <c:v>1985768.3144729005</c:v>
                </c:pt>
                <c:pt idx="7">
                  <c:v>1884760.7702997816</c:v>
                </c:pt>
                <c:pt idx="8">
                  <c:v>1783753.2261266627</c:v>
                </c:pt>
                <c:pt idx="9">
                  <c:v>1682745.6819535438</c:v>
                </c:pt>
                <c:pt idx="10">
                  <c:v>1581738.1377804249</c:v>
                </c:pt>
                <c:pt idx="11">
                  <c:v>1480730.593607306</c:v>
                </c:pt>
                <c:pt idx="12">
                  <c:v>1379723.0494341871</c:v>
                </c:pt>
                <c:pt idx="13">
                  <c:v>1278715.5052610682</c:v>
                </c:pt>
                <c:pt idx="14">
                  <c:v>1177707.9610879493</c:v>
                </c:pt>
                <c:pt idx="15">
                  <c:v>1076700.4169148304</c:v>
                </c:pt>
                <c:pt idx="16">
                  <c:v>975692.87274171156</c:v>
                </c:pt>
                <c:pt idx="17">
                  <c:v>932197.21315252595</c:v>
                </c:pt>
                <c:pt idx="18">
                  <c:v>830653.10579484038</c:v>
                </c:pt>
                <c:pt idx="19">
                  <c:v>729108.99843715481</c:v>
                </c:pt>
                <c:pt idx="20">
                  <c:v>627564.89107946923</c:v>
                </c:pt>
                <c:pt idx="21">
                  <c:v>526020.78372178366</c:v>
                </c:pt>
                <c:pt idx="22">
                  <c:v>1761991.0983706922</c:v>
                </c:pt>
                <c:pt idx="23">
                  <c:v>1643550.4686773573</c:v>
                </c:pt>
                <c:pt idx="24">
                  <c:v>1525109.8389840224</c:v>
                </c:pt>
              </c:numCache>
            </c:numRef>
          </c:val>
          <c:extLst>
            <c:ext xmlns:c16="http://schemas.microsoft.com/office/drawing/2014/chart" uri="{C3380CC4-5D6E-409C-BE32-E72D297353CC}">
              <c16:uniqueId val="{00000001-9DD1-4CC9-A52B-7F4ED61E9DD0}"/>
            </c:ext>
          </c:extLst>
        </c:ser>
        <c:dLbls>
          <c:showLegendKey val="0"/>
          <c:showVal val="0"/>
          <c:showCatName val="0"/>
          <c:showSerName val="0"/>
          <c:showPercent val="0"/>
          <c:showBubbleSize val="0"/>
        </c:dLbls>
        <c:axId val="878607104"/>
        <c:axId val="878604360"/>
      </c:areaChart>
      <c:lineChart>
        <c:grouping val="standard"/>
        <c:varyColors val="0"/>
        <c:dLbls>
          <c:showLegendKey val="0"/>
          <c:showVal val="0"/>
          <c:showCatName val="0"/>
          <c:showSerName val="0"/>
          <c:showPercent val="0"/>
          <c:showBubbleSize val="0"/>
        </c:dLbls>
        <c:marker val="1"/>
        <c:smooth val="0"/>
        <c:axId val="878607104"/>
        <c:axId val="878604360"/>
        <c:extLst>
          <c:ext xmlns:c15="http://schemas.microsoft.com/office/drawing/2012/chart" uri="{02D57815-91ED-43cb-92C2-25804820EDAC}">
            <c15:filteredLineSeries>
              <c15:ser>
                <c:idx val="1"/>
                <c:order val="2"/>
                <c:tx>
                  <c:strRef>
                    <c:extLst>
                      <c:ext uri="{02D57815-91ED-43cb-92C2-25804820EDAC}">
                        <c15:formulaRef>
                          <c15:sqref>B1_Calculs!$AL$41</c15:sqref>
                        </c15:formulaRef>
                      </c:ext>
                    </c:extLst>
                    <c:strCache>
                      <c:ptCount val="1"/>
                      <c:pt idx="0">
                        <c:v>Cash-flow cumulé</c:v>
                      </c:pt>
                    </c:strCache>
                  </c:strRef>
                </c:tx>
                <c:spPr>
                  <a:ln w="19050">
                    <a:solidFill>
                      <a:schemeClr val="accent2"/>
                    </a:solidFill>
                  </a:ln>
                </c:spPr>
                <c:marker>
                  <c:symbol val="none"/>
                </c:marker>
                <c:cat>
                  <c:numRef>
                    <c:extLst>
                      <c:ext uri="{02D57815-91ED-43cb-92C2-25804820EDAC}">
                        <c15:formulaRef>
                          <c15:sqref>B1_Calculs!$B$44:$B$68</c15:sqref>
                        </c15:formulaRef>
                      </c:ext>
                    </c:extLst>
                    <c:numCache>
                      <c:formatCode>0</c:formatCode>
                      <c:ptCount val="25"/>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numCache>
                  </c:numRef>
                </c:cat>
                <c:val>
                  <c:numRef>
                    <c:extLst>
                      <c:ext uri="{02D57815-91ED-43cb-92C2-25804820EDAC}">
                        <c15:formulaRef>
                          <c15:sqref>B1_Calculs!$AL$44:$AL$68</c15:sqref>
                        </c15:formulaRef>
                      </c:ext>
                    </c:extLst>
                    <c:numCache>
                      <c:formatCode>#,##0</c:formatCode>
                      <c:ptCount val="25"/>
                      <c:pt idx="0">
                        <c:v>-40870</c:v>
                      </c:pt>
                      <c:pt idx="1">
                        <c:v>-128383.82771052631</c:v>
                      </c:pt>
                      <c:pt idx="2">
                        <c:v>-176461.34641579306</c:v>
                      </c:pt>
                      <c:pt idx="3">
                        <c:v>-151468.19260604901</c:v>
                      </c:pt>
                      <c:pt idx="4">
                        <c:v>-97376.96306918154</c:v>
                      </c:pt>
                      <c:pt idx="5">
                        <c:v>-41455.917458883778</c:v>
                      </c:pt>
                      <c:pt idx="6">
                        <c:v>-26.279552621592302</c:v>
                      </c:pt>
                      <c:pt idx="7">
                        <c:v>43079.87445894815</c:v>
                      </c:pt>
                      <c:pt idx="8">
                        <c:v>95080.009520071559</c:v>
                      </c:pt>
                      <c:pt idx="9">
                        <c:v>156075.66552882112</c:v>
                      </c:pt>
                      <c:pt idx="10">
                        <c:v>218857.27802177268</c:v>
                      </c:pt>
                      <c:pt idx="11">
                        <c:v>283429.36912167061</c:v>
                      </c:pt>
                      <c:pt idx="12">
                        <c:v>349796.50616412569</c:v>
                      </c:pt>
                      <c:pt idx="13">
                        <c:v>417963.30214974447</c:v>
                      </c:pt>
                      <c:pt idx="14">
                        <c:v>487934.41620078031</c:v>
                      </c:pt>
                      <c:pt idx="15">
                        <c:v>559714.55402235035</c:v>
                      </c:pt>
                      <c:pt idx="16">
                        <c:v>633308.46836826554</c:v>
                      </c:pt>
                      <c:pt idx="17">
                        <c:v>708720.95951151778</c:v>
                      </c:pt>
                      <c:pt idx="18">
                        <c:v>785956.875719473</c:v>
                      </c:pt>
                      <c:pt idx="19">
                        <c:v>865021.11373381561</c:v>
                      </c:pt>
                      <c:pt idx="20">
                        <c:v>945918.61925529235</c:v>
                      </c:pt>
                      <c:pt idx="21">
                        <c:v>1072049.1242754092</c:v>
                      </c:pt>
                      <c:pt idx="22">
                        <c:v>1198680.8317814451</c:v>
                      </c:pt>
                      <c:pt idx="23">
                        <c:v>1325818.8373085156</c:v>
                      </c:pt>
                      <c:pt idx="24">
                        <c:v>1453468.2873387365</c:v>
                      </c:pt>
                    </c:numCache>
                  </c:numRef>
                </c:val>
                <c:smooth val="0"/>
                <c:extLst>
                  <c:ext xmlns:c16="http://schemas.microsoft.com/office/drawing/2014/chart" uri="{C3380CC4-5D6E-409C-BE32-E72D297353CC}">
                    <c16:uniqueId val="{00000000-F3CD-4DD1-956D-622EFF313AAF}"/>
                  </c:ext>
                </c:extLst>
              </c15:ser>
            </c15:filteredLineSeries>
          </c:ext>
        </c:extLst>
      </c:lineChart>
      <c:catAx>
        <c:axId val="878607104"/>
        <c:scaling>
          <c:orientation val="minMax"/>
        </c:scaling>
        <c:delete val="0"/>
        <c:axPos val="b"/>
        <c:numFmt formatCode="0" sourceLinked="1"/>
        <c:majorTickMark val="none"/>
        <c:minorTickMark val="none"/>
        <c:tickLblPos val="low"/>
        <c:spPr>
          <a:ln w="3175">
            <a:solidFill>
              <a:srgbClr val="000000"/>
            </a:solidFill>
            <a:prstDash val="solid"/>
          </a:ln>
        </c:spPr>
        <c:txPr>
          <a:bodyPr rot="-2700000" vert="horz"/>
          <a:lstStyle/>
          <a:p>
            <a:pPr>
              <a:defRPr sz="1000"/>
            </a:pPr>
            <a:endParaRPr lang="de-DE"/>
          </a:p>
        </c:txPr>
        <c:crossAx val="878604360"/>
        <c:crosses val="autoZero"/>
        <c:auto val="1"/>
        <c:lblAlgn val="ctr"/>
        <c:lblOffset val="100"/>
        <c:tickLblSkip val="1"/>
        <c:noMultiLvlLbl val="0"/>
      </c:catAx>
      <c:valAx>
        <c:axId val="878604360"/>
        <c:scaling>
          <c:orientation val="minMax"/>
        </c:scaling>
        <c:delete val="0"/>
        <c:axPos val="l"/>
        <c:majorGridlines>
          <c:spPr>
            <a:ln w="3175">
              <a:solidFill>
                <a:srgbClr val="000000"/>
              </a:solidFill>
              <a:prstDash val="solid"/>
            </a:ln>
          </c:spPr>
        </c:majorGridlines>
        <c:title>
          <c:tx>
            <c:rich>
              <a:bodyPr/>
              <a:lstStyle/>
              <a:p>
                <a:pPr>
                  <a:defRPr sz="1000"/>
                </a:pPr>
                <a:r>
                  <a:rPr lang="de-DE" sz="1000" b="0" i="0" u="none" strike="noStrike" kern="1200" baseline="0">
                    <a:solidFill>
                      <a:srgbClr val="000000"/>
                    </a:solidFill>
                    <a:ea typeface="Arial"/>
                    <a:cs typeface="Arial"/>
                  </a:rPr>
                  <a:t>Montant [CHF]</a:t>
                </a:r>
              </a:p>
            </c:rich>
          </c:tx>
          <c:layout>
            <c:manualLayout>
              <c:xMode val="edge"/>
              <c:yMode val="edge"/>
              <c:x val="1.2875653438494897E-2"/>
              <c:y val="0.2460119732224482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a:pPr>
            <a:endParaRPr lang="de-DE"/>
          </a:p>
        </c:txPr>
        <c:crossAx val="878607104"/>
        <c:crosses val="autoZero"/>
        <c:crossBetween val="between"/>
      </c:valAx>
      <c:spPr>
        <a:noFill/>
        <a:ln w="12700">
          <a:solidFill>
            <a:schemeClr val="tx1"/>
          </a:solidFill>
          <a:prstDash val="solid"/>
        </a:ln>
      </c:spPr>
    </c:plotArea>
    <c:legend>
      <c:legendPos val="b"/>
      <c:layout>
        <c:manualLayout>
          <c:xMode val="edge"/>
          <c:yMode val="edge"/>
          <c:x val="3.1249929033413257E-2"/>
          <c:y val="0.90005780176354355"/>
          <c:w val="0.78510793471947449"/>
          <c:h val="9.9942145529681128E-2"/>
        </c:manualLayout>
      </c:layout>
      <c:overlay val="0"/>
      <c:spPr>
        <a:solidFill>
          <a:srgbClr val="FFFFFF"/>
        </a:solidFill>
        <a:ln w="3175">
          <a:noFill/>
          <a:prstDash val="solid"/>
        </a:ln>
      </c:spPr>
      <c:txPr>
        <a:bodyPr/>
        <a:lstStyle/>
        <a:p>
          <a:pPr>
            <a:defRPr sz="1000"/>
          </a:pPr>
          <a:endParaRPr lang="de-DE"/>
        </a:p>
      </c:txPr>
    </c:legend>
    <c:plotVisOnly val="1"/>
    <c:dispBlanksAs val="gap"/>
    <c:showDLblsOverMax val="0"/>
  </c:chart>
  <c:spPr>
    <a:solidFill>
      <a:srgbClr val="FFFFFF"/>
    </a:solidFill>
    <a:ln w="3175">
      <a:noFill/>
      <a:prstDash val="solid"/>
    </a:ln>
  </c:spPr>
  <c:txPr>
    <a:bodyPr/>
    <a:lstStyle/>
    <a:p>
      <a:pPr>
        <a:defRPr sz="1475" b="0" i="0" u="none" strike="noStrike" baseline="0">
          <a:solidFill>
            <a:srgbClr val="000000"/>
          </a:solidFill>
          <a:latin typeface="+mn-lt"/>
          <a:ea typeface="Arial"/>
          <a:cs typeface="Arial"/>
        </a:defRPr>
      </a:pPr>
      <a:endParaRPr lang="de-DE"/>
    </a:p>
  </c:txPr>
  <c:printSettings>
    <c:headerFooter alignWithMargins="0"/>
    <c:pageMargins b="0.984251969" l="0.78740157499999996" r="0.78740157499999996" t="0.984251969" header="0.4921259845" footer="0.4921259845"/>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33</xdr:col>
      <xdr:colOff>650083</xdr:colOff>
      <xdr:row>6</xdr:row>
      <xdr:rowOff>45243</xdr:rowOff>
    </xdr:from>
    <xdr:to>
      <xdr:col>44</xdr:col>
      <xdr:colOff>698533</xdr:colOff>
      <xdr:row>37</xdr:row>
      <xdr:rowOff>44680</xdr:rowOff>
    </xdr:to>
    <xdr:graphicFrame macro="">
      <xdr:nvGraphicFramePr>
        <xdr:cNvPr id="4" name="Diagramm 24">
          <a:extLst>
            <a:ext uri="{FF2B5EF4-FFF2-40B4-BE49-F238E27FC236}">
              <a16:creationId xmlns:a16="http://schemas.microsoft.com/office/drawing/2014/main" id="{E8AE3B2A-351E-406A-A34A-B7745D530A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14283</xdr:colOff>
      <xdr:row>6</xdr:row>
      <xdr:rowOff>61914</xdr:rowOff>
    </xdr:from>
    <xdr:to>
      <xdr:col>21</xdr:col>
      <xdr:colOff>62733</xdr:colOff>
      <xdr:row>37</xdr:row>
      <xdr:rowOff>61351</xdr:rowOff>
    </xdr:to>
    <xdr:graphicFrame macro="">
      <xdr:nvGraphicFramePr>
        <xdr:cNvPr id="5" name="Diagramm 24">
          <a:extLst>
            <a:ext uri="{FF2B5EF4-FFF2-40B4-BE49-F238E27FC236}">
              <a16:creationId xmlns:a16="http://schemas.microsoft.com/office/drawing/2014/main" id="{008449FD-7ACD-40E0-AAAC-077FBC1635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533400</xdr:colOff>
      <xdr:row>6</xdr:row>
      <xdr:rowOff>0</xdr:rowOff>
    </xdr:from>
    <xdr:to>
      <xdr:col>32</xdr:col>
      <xdr:colOff>581850</xdr:colOff>
      <xdr:row>36</xdr:row>
      <xdr:rowOff>161362</xdr:rowOff>
    </xdr:to>
    <xdr:graphicFrame macro="">
      <xdr:nvGraphicFramePr>
        <xdr:cNvPr id="2" name="Diagramm 24">
          <a:extLst>
            <a:ext uri="{FF2B5EF4-FFF2-40B4-BE49-F238E27FC236}">
              <a16:creationId xmlns:a16="http://schemas.microsoft.com/office/drawing/2014/main" id="{B2DEE835-7EA4-4D36-9DA5-7F66AD828D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95250</xdr:colOff>
      <xdr:row>7</xdr:row>
      <xdr:rowOff>38099</xdr:rowOff>
    </xdr:from>
    <xdr:to>
      <xdr:col>12</xdr:col>
      <xdr:colOff>657225</xdr:colOff>
      <xdr:row>18</xdr:row>
      <xdr:rowOff>123825</xdr:rowOff>
    </xdr:to>
    <xdr:graphicFrame macro="">
      <xdr:nvGraphicFramePr>
        <xdr:cNvPr id="3" name="Diagramm 2">
          <a:extLst>
            <a:ext uri="{FF2B5EF4-FFF2-40B4-BE49-F238E27FC236}">
              <a16:creationId xmlns:a16="http://schemas.microsoft.com/office/drawing/2014/main" id="{16A6ABB0-CC87-4DCC-8C77-3E5D825F8D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38100</xdr:colOff>
      <xdr:row>43</xdr:row>
      <xdr:rowOff>104774</xdr:rowOff>
    </xdr:from>
    <xdr:to>
      <xdr:col>6</xdr:col>
      <xdr:colOff>161926</xdr:colOff>
      <xdr:row>59</xdr:row>
      <xdr:rowOff>138545</xdr:rowOff>
    </xdr:to>
    <xdr:graphicFrame macro="">
      <xdr:nvGraphicFramePr>
        <xdr:cNvPr id="5" name="Diagramm 24">
          <a:extLst>
            <a:ext uri="{FF2B5EF4-FFF2-40B4-BE49-F238E27FC236}">
              <a16:creationId xmlns:a16="http://schemas.microsoft.com/office/drawing/2014/main" id="{A03ABFF8-1B3C-4E7E-A949-791DD95703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28575</xdr:colOff>
      <xdr:row>24</xdr:row>
      <xdr:rowOff>95249</xdr:rowOff>
    </xdr:from>
    <xdr:to>
      <xdr:col>13</xdr:col>
      <xdr:colOff>0</xdr:colOff>
      <xdr:row>39</xdr:row>
      <xdr:rowOff>152399</xdr:rowOff>
    </xdr:to>
    <xdr:graphicFrame macro="">
      <xdr:nvGraphicFramePr>
        <xdr:cNvPr id="6" name="Diagramm 24">
          <a:extLst>
            <a:ext uri="{FF2B5EF4-FFF2-40B4-BE49-F238E27FC236}">
              <a16:creationId xmlns:a16="http://schemas.microsoft.com/office/drawing/2014/main" id="{1CF73B0F-F151-4794-B100-5EB7BDFBC2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Jürgen Good" id="{F3F7B2E9-62B8-C644-88BB-50E942D876CB}" userId="de1527a79d540936" providerId="Windows Live"/>
</personList>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1">
    <v>1</v>
    <v>5</v>
    <v xml:space="preserve">Référence de la source: Guide de planification Chauffage à distance, Fig. 5.3
</v>
  </rv>
  <rv s="0">
    <v>2</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Design">
  <a:themeElements>
    <a:clrScheme name="QMH_korrigiert">
      <a:dk1>
        <a:sysClr val="windowText" lastClr="000000"/>
      </a:dk1>
      <a:lt1>
        <a:sysClr val="window" lastClr="FFFFFF"/>
      </a:lt1>
      <a:dk2>
        <a:srgbClr val="44546A"/>
      </a:dk2>
      <a:lt2>
        <a:srgbClr val="E7E6E6"/>
      </a:lt2>
      <a:accent1>
        <a:srgbClr val="DE4343"/>
      </a:accent1>
      <a:accent2>
        <a:srgbClr val="FF7701"/>
      </a:accent2>
      <a:accent3>
        <a:srgbClr val="155C7C"/>
      </a:accent3>
      <a:accent4>
        <a:srgbClr val="B9AE70"/>
      </a:accent4>
      <a:accent5>
        <a:srgbClr val="82C0D9"/>
      </a:accent5>
      <a:accent6>
        <a:srgbClr val="2D5650"/>
      </a:accent6>
      <a:hlink>
        <a:srgbClr val="0563C1"/>
      </a:hlink>
      <a:folHlink>
        <a:srgbClr val="954F72"/>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40" dT="2025-06-21T14:00:16.36" personId="{F3F7B2E9-62B8-C644-88BB-50E942D876CB}" id="{143C4CEB-1932-0A40-9D1A-8565967AAA26}">
    <text>Zellenbreite anpassen</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vmlDrawing" Target="../drawings/vmlDrawing6.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8.v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N286"/>
  <sheetViews>
    <sheetView tabSelected="1" zoomScale="110" zoomScaleNormal="110" workbookViewId="0">
      <selection activeCell="B2" sqref="B2"/>
    </sheetView>
  </sheetViews>
  <sheetFormatPr baseColWidth="10" defaultColWidth="0" defaultRowHeight="12.75" zeroHeight="1" x14ac:dyDescent="0.25"/>
  <cols>
    <col min="1" max="1" width="5.7109375" style="239" customWidth="1"/>
    <col min="2" max="2" width="79.7109375" style="333" customWidth="1"/>
    <col min="3" max="4" width="16.28515625" style="141" hidden="1" customWidth="1"/>
    <col min="5" max="14" width="0" style="141" hidden="1" customWidth="1"/>
    <col min="15" max="16384" width="16.28515625" style="141" hidden="1"/>
  </cols>
  <sheetData>
    <row r="1" spans="1:14" s="138" customFormat="1" ht="36" x14ac:dyDescent="0.25">
      <c r="A1" s="232"/>
      <c r="B1" s="357" t="s">
        <v>478</v>
      </c>
      <c r="G1" s="139"/>
      <c r="H1" s="139"/>
      <c r="I1" s="139"/>
      <c r="J1" s="139"/>
      <c r="K1" s="139"/>
      <c r="L1" s="139"/>
      <c r="M1" s="139"/>
      <c r="N1" s="139"/>
    </row>
    <row r="2" spans="1:14" s="138" customFormat="1" x14ac:dyDescent="0.25">
      <c r="A2" s="232"/>
      <c r="B2" s="358" t="s">
        <v>1002</v>
      </c>
      <c r="G2" s="139"/>
      <c r="H2" s="139"/>
      <c r="I2" s="139"/>
      <c r="J2" s="139"/>
      <c r="K2" s="139"/>
      <c r="L2" s="139"/>
      <c r="M2" s="139"/>
      <c r="N2" s="139"/>
    </row>
    <row r="3" spans="1:14" x14ac:dyDescent="0.25">
      <c r="A3" s="233"/>
      <c r="B3" s="140" t="s">
        <v>0</v>
      </c>
    </row>
    <row r="4" spans="1:14" ht="367.5" customHeight="1" x14ac:dyDescent="0.25">
      <c r="A4" s="234"/>
      <c r="B4" s="142" t="s">
        <v>957</v>
      </c>
    </row>
    <row r="5" spans="1:14" ht="51" x14ac:dyDescent="0.25">
      <c r="A5" s="234"/>
      <c r="B5" s="142" t="s">
        <v>479</v>
      </c>
    </row>
    <row r="6" spans="1:14" ht="102" x14ac:dyDescent="0.25">
      <c r="A6" s="234"/>
      <c r="B6" s="10" t="s">
        <v>958</v>
      </c>
    </row>
    <row r="7" spans="1:14" ht="38.25" x14ac:dyDescent="0.25">
      <c r="A7" s="235">
        <v>100</v>
      </c>
      <c r="B7" s="142" t="s">
        <v>1</v>
      </c>
    </row>
    <row r="8" spans="1:14" x14ac:dyDescent="0.25">
      <c r="A8" s="235">
        <v>101</v>
      </c>
      <c r="B8" s="291" t="s">
        <v>480</v>
      </c>
    </row>
    <row r="9" spans="1:14" x14ac:dyDescent="0.25">
      <c r="A9" s="235" t="s">
        <v>2</v>
      </c>
      <c r="B9" s="143" t="s">
        <v>3</v>
      </c>
    </row>
    <row r="10" spans="1:14" ht="51" x14ac:dyDescent="0.25">
      <c r="A10" s="235" t="s">
        <v>4</v>
      </c>
      <c r="B10" s="156" t="s">
        <v>5</v>
      </c>
    </row>
    <row r="11" spans="1:14" ht="38.25" x14ac:dyDescent="0.25">
      <c r="A11" s="235" t="s">
        <v>6</v>
      </c>
      <c r="B11" s="144" t="s">
        <v>695</v>
      </c>
    </row>
    <row r="12" spans="1:14" ht="38.25" x14ac:dyDescent="0.25">
      <c r="A12" s="235" t="s">
        <v>7</v>
      </c>
      <c r="B12" s="145" t="s">
        <v>481</v>
      </c>
    </row>
    <row r="13" spans="1:14" ht="38.25" x14ac:dyDescent="0.25">
      <c r="A13" s="235" t="s">
        <v>8</v>
      </c>
      <c r="B13" s="290" t="s">
        <v>482</v>
      </c>
    </row>
    <row r="14" spans="1:14" x14ac:dyDescent="0.25">
      <c r="A14" s="235" t="s">
        <v>9</v>
      </c>
      <c r="B14" s="10" t="s">
        <v>10</v>
      </c>
    </row>
    <row r="15" spans="1:14" ht="25.5" x14ac:dyDescent="0.25">
      <c r="A15" s="235">
        <v>105</v>
      </c>
      <c r="B15" s="291" t="s">
        <v>483</v>
      </c>
    </row>
    <row r="16" spans="1:14" x14ac:dyDescent="0.25">
      <c r="A16" s="235">
        <v>106</v>
      </c>
      <c r="B16" s="10" t="s">
        <v>11</v>
      </c>
    </row>
    <row r="17" spans="1:2" x14ac:dyDescent="0.25">
      <c r="A17" s="235">
        <v>107</v>
      </c>
      <c r="B17" s="10" t="s">
        <v>484</v>
      </c>
    </row>
    <row r="18" spans="1:2" ht="38.25" x14ac:dyDescent="0.25">
      <c r="A18" s="235">
        <v>108</v>
      </c>
      <c r="B18" s="142" t="s">
        <v>696</v>
      </c>
    </row>
    <row r="19" spans="1:2" x14ac:dyDescent="0.25">
      <c r="A19" s="235">
        <v>110</v>
      </c>
      <c r="B19" s="142" t="s">
        <v>485</v>
      </c>
    </row>
    <row r="20" spans="1:2" ht="25.5" x14ac:dyDescent="0.25">
      <c r="A20" s="235" t="s">
        <v>12</v>
      </c>
      <c r="B20" s="291" t="s">
        <v>945</v>
      </c>
    </row>
    <row r="21" spans="1:2" ht="38.25" x14ac:dyDescent="0.25">
      <c r="A21" s="236" t="s">
        <v>13</v>
      </c>
      <c r="B21" s="10" t="s">
        <v>596</v>
      </c>
    </row>
    <row r="22" spans="1:2" ht="51" x14ac:dyDescent="0.25">
      <c r="A22" s="237" t="s">
        <v>14</v>
      </c>
      <c r="B22" s="10" t="s">
        <v>946</v>
      </c>
    </row>
    <row r="23" spans="1:2" ht="25.5" x14ac:dyDescent="0.25">
      <c r="A23" s="236" t="s">
        <v>15</v>
      </c>
      <c r="B23" s="10" t="s">
        <v>697</v>
      </c>
    </row>
    <row r="24" spans="1:2" ht="38.25" x14ac:dyDescent="0.25">
      <c r="A24" s="236" t="s">
        <v>16</v>
      </c>
      <c r="B24" s="10" t="s">
        <v>486</v>
      </c>
    </row>
    <row r="25" spans="1:2" x14ac:dyDescent="0.25">
      <c r="A25" s="235">
        <v>115</v>
      </c>
      <c r="B25" s="142" t="s">
        <v>607</v>
      </c>
    </row>
    <row r="26" spans="1:2" ht="384.95" customHeight="1" x14ac:dyDescent="0.25">
      <c r="A26" s="235"/>
      <c r="B26" s="291" t="e" vm="1">
        <v>#VALUE!</v>
      </c>
    </row>
    <row r="27" spans="1:2" ht="38.25" x14ac:dyDescent="0.25">
      <c r="A27" s="235" t="s">
        <v>17</v>
      </c>
      <c r="B27" s="10" t="s">
        <v>610</v>
      </c>
    </row>
    <row r="28" spans="1:2" ht="25.5" x14ac:dyDescent="0.25">
      <c r="A28" s="235" t="s">
        <v>18</v>
      </c>
      <c r="B28" s="291" t="s">
        <v>597</v>
      </c>
    </row>
    <row r="29" spans="1:2" ht="25.5" x14ac:dyDescent="0.25">
      <c r="A29" s="235" t="s">
        <v>19</v>
      </c>
      <c r="B29" s="291" t="s">
        <v>598</v>
      </c>
    </row>
    <row r="30" spans="1:2" x14ac:dyDescent="0.25">
      <c r="A30" s="235" t="s">
        <v>20</v>
      </c>
      <c r="B30" s="291" t="s">
        <v>599</v>
      </c>
    </row>
    <row r="31" spans="1:2" ht="25.5" x14ac:dyDescent="0.25">
      <c r="A31" s="235" t="s">
        <v>21</v>
      </c>
      <c r="B31" s="291" t="s">
        <v>600</v>
      </c>
    </row>
    <row r="32" spans="1:2" ht="25.5" x14ac:dyDescent="0.25">
      <c r="A32" s="235" t="s">
        <v>22</v>
      </c>
      <c r="B32" s="291" t="s">
        <v>601</v>
      </c>
    </row>
    <row r="33" spans="1:2" ht="25.5" x14ac:dyDescent="0.25">
      <c r="A33" s="235" t="s">
        <v>23</v>
      </c>
      <c r="B33" s="10" t="s">
        <v>602</v>
      </c>
    </row>
    <row r="34" spans="1:2" ht="38.25" x14ac:dyDescent="0.25">
      <c r="A34" s="235" t="s">
        <v>24</v>
      </c>
      <c r="B34" s="10" t="s">
        <v>487</v>
      </c>
    </row>
    <row r="35" spans="1:2" ht="38.25" x14ac:dyDescent="0.25">
      <c r="A35" s="235" t="s">
        <v>25</v>
      </c>
      <c r="B35" s="10" t="s">
        <v>488</v>
      </c>
    </row>
    <row r="36" spans="1:2" x14ac:dyDescent="0.25">
      <c r="A36" s="235" t="s">
        <v>26</v>
      </c>
      <c r="B36" s="331" t="s">
        <v>489</v>
      </c>
    </row>
    <row r="37" spans="1:2" ht="25.5" x14ac:dyDescent="0.25">
      <c r="A37" s="235" t="s">
        <v>27</v>
      </c>
      <c r="B37" s="291" t="s">
        <v>913</v>
      </c>
    </row>
    <row r="38" spans="1:2" ht="51" x14ac:dyDescent="0.25">
      <c r="A38" s="235" t="s">
        <v>28</v>
      </c>
      <c r="B38" s="10" t="s">
        <v>947</v>
      </c>
    </row>
    <row r="39" spans="1:2" ht="51" x14ac:dyDescent="0.25">
      <c r="A39" s="235" t="s">
        <v>29</v>
      </c>
      <c r="B39" s="10" t="s">
        <v>807</v>
      </c>
    </row>
    <row r="40" spans="1:2" ht="51" x14ac:dyDescent="0.25">
      <c r="A40" s="236" t="s">
        <v>30</v>
      </c>
      <c r="B40" s="10" t="s">
        <v>698</v>
      </c>
    </row>
    <row r="41" spans="1:2" ht="38.25" x14ac:dyDescent="0.25">
      <c r="A41" s="235" t="s">
        <v>31</v>
      </c>
      <c r="B41" s="291" t="s">
        <v>915</v>
      </c>
    </row>
    <row r="42" spans="1:2" ht="25.5" x14ac:dyDescent="0.25">
      <c r="A42" s="235" t="s">
        <v>32</v>
      </c>
      <c r="B42" s="291" t="s">
        <v>603</v>
      </c>
    </row>
    <row r="43" spans="1:2" x14ac:dyDescent="0.25">
      <c r="A43" s="235">
        <v>120</v>
      </c>
      <c r="B43" s="142" t="s">
        <v>492</v>
      </c>
    </row>
    <row r="44" spans="1:2" ht="25.5" x14ac:dyDescent="0.25">
      <c r="A44" s="235" t="s">
        <v>33</v>
      </c>
      <c r="B44" s="10" t="s">
        <v>490</v>
      </c>
    </row>
    <row r="45" spans="1:2" ht="25.5" x14ac:dyDescent="0.25">
      <c r="A45" s="237" t="s">
        <v>34</v>
      </c>
      <c r="B45" s="332" t="s">
        <v>950</v>
      </c>
    </row>
    <row r="46" spans="1:2" ht="25.5" x14ac:dyDescent="0.25">
      <c r="A46" s="237" t="s">
        <v>35</v>
      </c>
      <c r="B46" s="332" t="s">
        <v>491</v>
      </c>
    </row>
    <row r="47" spans="1:2" ht="38.25" x14ac:dyDescent="0.25">
      <c r="A47" s="237" t="s">
        <v>36</v>
      </c>
      <c r="B47" s="10" t="s">
        <v>515</v>
      </c>
    </row>
    <row r="48" spans="1:2" ht="25.5" x14ac:dyDescent="0.25">
      <c r="A48" s="235" t="s">
        <v>37</v>
      </c>
      <c r="B48" s="10" t="s">
        <v>604</v>
      </c>
    </row>
    <row r="49" spans="1:2" ht="38.25" x14ac:dyDescent="0.25">
      <c r="A49" s="235" t="s">
        <v>38</v>
      </c>
      <c r="B49" s="291" t="s">
        <v>837</v>
      </c>
    </row>
    <row r="50" spans="1:2" x14ac:dyDescent="0.25">
      <c r="A50" s="237" t="s">
        <v>39</v>
      </c>
      <c r="B50" s="332" t="s">
        <v>493</v>
      </c>
    </row>
    <row r="51" spans="1:2" ht="25.5" x14ac:dyDescent="0.25">
      <c r="A51" s="235" t="s">
        <v>40</v>
      </c>
      <c r="B51" s="291" t="s">
        <v>625</v>
      </c>
    </row>
    <row r="52" spans="1:2" x14ac:dyDescent="0.25">
      <c r="A52" s="235" t="s">
        <v>41</v>
      </c>
      <c r="B52" s="291" t="s">
        <v>605</v>
      </c>
    </row>
    <row r="53" spans="1:2" ht="25.5" x14ac:dyDescent="0.25">
      <c r="A53" s="235">
        <v>125</v>
      </c>
      <c r="B53" s="142" t="s">
        <v>494</v>
      </c>
    </row>
    <row r="54" spans="1:2" ht="51" x14ac:dyDescent="0.25">
      <c r="A54" s="237" t="s">
        <v>42</v>
      </c>
      <c r="B54" s="142" t="s">
        <v>500</v>
      </c>
    </row>
    <row r="55" spans="1:2" ht="25.5" x14ac:dyDescent="0.25">
      <c r="A55" s="236" t="s">
        <v>43</v>
      </c>
      <c r="B55" s="10" t="s">
        <v>495</v>
      </c>
    </row>
    <row r="56" spans="1:2" ht="25.5" x14ac:dyDescent="0.25">
      <c r="A56" s="235" t="s">
        <v>44</v>
      </c>
      <c r="B56" s="10" t="s">
        <v>496</v>
      </c>
    </row>
    <row r="57" spans="1:2" x14ac:dyDescent="0.25">
      <c r="A57" s="235" t="s">
        <v>45</v>
      </c>
      <c r="B57" s="10" t="s">
        <v>497</v>
      </c>
    </row>
    <row r="58" spans="1:2" ht="51" x14ac:dyDescent="0.25">
      <c r="A58" s="235" t="s">
        <v>46</v>
      </c>
      <c r="B58" s="10" t="s">
        <v>501</v>
      </c>
    </row>
    <row r="59" spans="1:2" ht="25.5" x14ac:dyDescent="0.25">
      <c r="A59" s="235" t="s">
        <v>47</v>
      </c>
      <c r="B59" s="10" t="s">
        <v>632</v>
      </c>
    </row>
    <row r="60" spans="1:2" x14ac:dyDescent="0.25">
      <c r="A60" s="235" t="s">
        <v>48</v>
      </c>
      <c r="B60" s="10" t="s">
        <v>633</v>
      </c>
    </row>
    <row r="61" spans="1:2" ht="25.5" x14ac:dyDescent="0.25">
      <c r="A61" s="235" t="s">
        <v>49</v>
      </c>
      <c r="B61" s="10" t="s">
        <v>634</v>
      </c>
    </row>
    <row r="62" spans="1:2" x14ac:dyDescent="0.25">
      <c r="A62" s="235">
        <v>140</v>
      </c>
      <c r="B62" s="142" t="s">
        <v>50</v>
      </c>
    </row>
    <row r="63" spans="1:2" x14ac:dyDescent="0.25">
      <c r="A63" s="235">
        <v>141</v>
      </c>
      <c r="B63" s="10" t="s">
        <v>51</v>
      </c>
    </row>
    <row r="64" spans="1:2" ht="51" x14ac:dyDescent="0.25">
      <c r="A64" s="237">
        <v>142</v>
      </c>
      <c r="B64" s="10" t="s">
        <v>499</v>
      </c>
    </row>
    <row r="65" spans="1:2" ht="25.5" x14ac:dyDescent="0.25">
      <c r="A65" s="236">
        <v>143</v>
      </c>
      <c r="B65" s="10" t="s">
        <v>502</v>
      </c>
    </row>
    <row r="66" spans="1:2" x14ac:dyDescent="0.25">
      <c r="A66" s="236">
        <v>145</v>
      </c>
      <c r="B66" s="142" t="s">
        <v>752</v>
      </c>
    </row>
    <row r="67" spans="1:2" x14ac:dyDescent="0.25">
      <c r="A67" s="235" t="s">
        <v>52</v>
      </c>
      <c r="B67" s="10" t="s">
        <v>877</v>
      </c>
    </row>
    <row r="68" spans="1:2" ht="25.5" x14ac:dyDescent="0.25">
      <c r="A68" s="235" t="s">
        <v>53</v>
      </c>
      <c r="B68" s="10" t="s">
        <v>753</v>
      </c>
    </row>
    <row r="69" spans="1:2" x14ac:dyDescent="0.25">
      <c r="A69" s="235" t="s">
        <v>54</v>
      </c>
      <c r="B69" s="291" t="s">
        <v>754</v>
      </c>
    </row>
    <row r="70" spans="1:2" x14ac:dyDescent="0.25">
      <c r="A70" s="235" t="s">
        <v>55</v>
      </c>
      <c r="B70" s="291" t="s">
        <v>851</v>
      </c>
    </row>
    <row r="71" spans="1:2" ht="38.25" x14ac:dyDescent="0.25">
      <c r="A71" s="235" t="s">
        <v>56</v>
      </c>
      <c r="B71" s="291" t="s">
        <v>955</v>
      </c>
    </row>
    <row r="72" spans="1:2" x14ac:dyDescent="0.25">
      <c r="A72" s="235" t="s">
        <v>57</v>
      </c>
      <c r="B72" s="291" t="s">
        <v>755</v>
      </c>
    </row>
    <row r="73" spans="1:2" x14ac:dyDescent="0.25">
      <c r="A73" s="235" t="s">
        <v>58</v>
      </c>
      <c r="B73" s="291" t="s">
        <v>756</v>
      </c>
    </row>
    <row r="74" spans="1:2" ht="25.5" x14ac:dyDescent="0.25">
      <c r="A74" s="235" t="s">
        <v>59</v>
      </c>
      <c r="B74" s="10" t="s">
        <v>757</v>
      </c>
    </row>
    <row r="75" spans="1:2" ht="25.5" x14ac:dyDescent="0.25">
      <c r="A75" s="235" t="s">
        <v>60</v>
      </c>
      <c r="B75" s="10" t="s">
        <v>758</v>
      </c>
    </row>
    <row r="76" spans="1:2" x14ac:dyDescent="0.25">
      <c r="A76" s="235" t="s">
        <v>61</v>
      </c>
      <c r="B76" s="10" t="s">
        <v>759</v>
      </c>
    </row>
    <row r="77" spans="1:2" ht="192" customHeight="1" x14ac:dyDescent="0.25">
      <c r="A77" s="235"/>
      <c r="B77" s="10" t="e" vm="2">
        <v>#VALUE!</v>
      </c>
    </row>
    <row r="78" spans="1:2" ht="51" x14ac:dyDescent="0.25">
      <c r="A78" s="235" t="s">
        <v>62</v>
      </c>
      <c r="B78" s="10" t="s">
        <v>959</v>
      </c>
    </row>
    <row r="79" spans="1:2" ht="76.5" x14ac:dyDescent="0.25">
      <c r="A79" s="235" t="s">
        <v>63</v>
      </c>
      <c r="B79" s="10" t="s">
        <v>960</v>
      </c>
    </row>
    <row r="80" spans="1:2" ht="25.5" x14ac:dyDescent="0.25">
      <c r="A80" s="235" t="s">
        <v>64</v>
      </c>
      <c r="B80" s="10" t="s">
        <v>644</v>
      </c>
    </row>
    <row r="81" spans="1:2" x14ac:dyDescent="0.25">
      <c r="A81" s="235" t="s">
        <v>65</v>
      </c>
      <c r="B81" s="10" t="s">
        <v>870</v>
      </c>
    </row>
    <row r="82" spans="1:2" ht="76.5" x14ac:dyDescent="0.25">
      <c r="A82" s="235">
        <v>150</v>
      </c>
      <c r="B82" s="10" t="s">
        <v>951</v>
      </c>
    </row>
    <row r="83" spans="1:2" ht="51" x14ac:dyDescent="0.25">
      <c r="A83" s="235" t="s">
        <v>66</v>
      </c>
      <c r="B83" s="10" t="s">
        <v>503</v>
      </c>
    </row>
    <row r="84" spans="1:2" ht="63.75" x14ac:dyDescent="0.25">
      <c r="A84" s="238" t="s">
        <v>67</v>
      </c>
      <c r="B84" s="10" t="s">
        <v>606</v>
      </c>
    </row>
    <row r="85" spans="1:2" ht="51" x14ac:dyDescent="0.25">
      <c r="A85" s="238">
        <v>151</v>
      </c>
      <c r="B85" s="291" t="s">
        <v>504</v>
      </c>
    </row>
    <row r="86" spans="1:2" ht="25.5" x14ac:dyDescent="0.25">
      <c r="A86" s="238">
        <v>155</v>
      </c>
      <c r="B86" s="291" t="s">
        <v>505</v>
      </c>
    </row>
    <row r="87" spans="1:2" ht="25.5" x14ac:dyDescent="0.25">
      <c r="A87" s="238">
        <v>156</v>
      </c>
      <c r="B87" s="291" t="s">
        <v>649</v>
      </c>
    </row>
    <row r="88" spans="1:2" ht="25.5" x14ac:dyDescent="0.25">
      <c r="A88" s="235">
        <v>160</v>
      </c>
      <c r="B88" s="10" t="s">
        <v>506</v>
      </c>
    </row>
    <row r="89" spans="1:2" x14ac:dyDescent="0.25">
      <c r="A89" s="235" t="s">
        <v>68</v>
      </c>
      <c r="B89" s="10" t="s">
        <v>69</v>
      </c>
    </row>
    <row r="90" spans="1:2" ht="102" x14ac:dyDescent="0.25">
      <c r="A90" s="235" t="s">
        <v>70</v>
      </c>
      <c r="B90" s="10" t="s">
        <v>71</v>
      </c>
    </row>
    <row r="91" spans="1:2" ht="25.5" x14ac:dyDescent="0.25">
      <c r="A91" s="235" t="s">
        <v>72</v>
      </c>
      <c r="B91" s="10" t="s">
        <v>652</v>
      </c>
    </row>
    <row r="92" spans="1:2" ht="25.5" x14ac:dyDescent="0.25">
      <c r="A92" s="235" t="s">
        <v>73</v>
      </c>
      <c r="B92" s="291" t="s">
        <v>651</v>
      </c>
    </row>
    <row r="93" spans="1:2" ht="25.5" x14ac:dyDescent="0.25">
      <c r="A93" s="235" t="s">
        <v>74</v>
      </c>
      <c r="B93" s="10" t="s">
        <v>75</v>
      </c>
    </row>
    <row r="94" spans="1:2" s="146" customFormat="1" x14ac:dyDescent="0.25">
      <c r="A94" s="235">
        <v>165</v>
      </c>
      <c r="B94" s="142" t="s">
        <v>507</v>
      </c>
    </row>
    <row r="95" spans="1:2" s="146" customFormat="1" ht="51" x14ac:dyDescent="0.25">
      <c r="A95" s="235">
        <v>166</v>
      </c>
      <c r="B95" s="10" t="s">
        <v>508</v>
      </c>
    </row>
    <row r="96" spans="1:2" x14ac:dyDescent="0.25">
      <c r="A96" s="235" t="s">
        <v>76</v>
      </c>
      <c r="B96" s="10" t="s">
        <v>77</v>
      </c>
    </row>
    <row r="97" spans="1:2" ht="51" x14ac:dyDescent="0.25">
      <c r="A97" s="235" t="s">
        <v>78</v>
      </c>
      <c r="B97" s="10" t="s">
        <v>509</v>
      </c>
    </row>
    <row r="98" spans="1:2" ht="38.25" x14ac:dyDescent="0.25">
      <c r="A98" s="235">
        <v>167</v>
      </c>
      <c r="B98" s="10" t="s">
        <v>510</v>
      </c>
    </row>
    <row r="99" spans="1:2" x14ac:dyDescent="0.25">
      <c r="A99" s="235" t="s">
        <v>79</v>
      </c>
      <c r="B99" s="10" t="s">
        <v>80</v>
      </c>
    </row>
    <row r="100" spans="1:2" x14ac:dyDescent="0.25">
      <c r="A100" s="235" t="s">
        <v>81</v>
      </c>
      <c r="B100" s="10" t="s">
        <v>82</v>
      </c>
    </row>
    <row r="101" spans="1:2" ht="38.25" x14ac:dyDescent="0.25">
      <c r="A101" s="235" t="s">
        <v>83</v>
      </c>
      <c r="B101" s="10" t="s">
        <v>511</v>
      </c>
    </row>
    <row r="102" spans="1:2" ht="38.25" x14ac:dyDescent="0.25">
      <c r="A102" s="235">
        <v>170</v>
      </c>
      <c r="B102" s="10" t="s">
        <v>919</v>
      </c>
    </row>
    <row r="103" spans="1:2" ht="38.25" x14ac:dyDescent="0.25">
      <c r="A103" s="235" t="s">
        <v>84</v>
      </c>
      <c r="B103" s="291" t="s">
        <v>512</v>
      </c>
    </row>
    <row r="104" spans="1:2" ht="25.5" x14ac:dyDescent="0.25">
      <c r="A104" s="235" t="s">
        <v>85</v>
      </c>
      <c r="B104" s="10" t="s">
        <v>513</v>
      </c>
    </row>
    <row r="105" spans="1:2" ht="25.5" x14ac:dyDescent="0.25">
      <c r="A105" s="235" t="s">
        <v>86</v>
      </c>
      <c r="B105" s="291" t="s">
        <v>514</v>
      </c>
    </row>
    <row r="106" spans="1:2" ht="25.5" x14ac:dyDescent="0.25">
      <c r="A106" s="235" t="s">
        <v>87</v>
      </c>
      <c r="B106" s="291" t="s">
        <v>516</v>
      </c>
    </row>
    <row r="107" spans="1:2" x14ac:dyDescent="0.25">
      <c r="A107" s="235" t="s">
        <v>88</v>
      </c>
      <c r="B107" s="291" t="s">
        <v>907</v>
      </c>
    </row>
    <row r="108" spans="1:2" ht="25.5" x14ac:dyDescent="0.25">
      <c r="A108" s="235" t="s">
        <v>89</v>
      </c>
      <c r="B108" s="291" t="s">
        <v>517</v>
      </c>
    </row>
    <row r="109" spans="1:2" ht="25.5" x14ac:dyDescent="0.25">
      <c r="A109" s="235" t="s">
        <v>90</v>
      </c>
      <c r="B109" s="291" t="s">
        <v>518</v>
      </c>
    </row>
    <row r="110" spans="1:2" ht="38.25" x14ac:dyDescent="0.25">
      <c r="A110" s="235" t="s">
        <v>91</v>
      </c>
      <c r="B110" s="291" t="s">
        <v>699</v>
      </c>
    </row>
    <row r="111" spans="1:2" ht="25.5" x14ac:dyDescent="0.25">
      <c r="A111" s="235" t="s">
        <v>92</v>
      </c>
      <c r="B111" s="291" t="s">
        <v>663</v>
      </c>
    </row>
    <row r="112" spans="1:2" ht="38.25" x14ac:dyDescent="0.25">
      <c r="A112" s="235" t="s">
        <v>93</v>
      </c>
      <c r="B112" s="291" t="s">
        <v>908</v>
      </c>
    </row>
    <row r="113" spans="1:2" ht="25.5" x14ac:dyDescent="0.25">
      <c r="A113" s="235" t="s">
        <v>94</v>
      </c>
      <c r="B113" s="291" t="s">
        <v>909</v>
      </c>
    </row>
    <row r="114" spans="1:2" ht="25.5" x14ac:dyDescent="0.25">
      <c r="A114" s="235" t="s">
        <v>95</v>
      </c>
      <c r="B114" s="291" t="s">
        <v>519</v>
      </c>
    </row>
    <row r="115" spans="1:2" ht="25.5" x14ac:dyDescent="0.25">
      <c r="A115" s="235" t="s">
        <v>96</v>
      </c>
      <c r="B115" s="291" t="s">
        <v>669</v>
      </c>
    </row>
    <row r="116" spans="1:2" x14ac:dyDescent="0.25">
      <c r="A116" s="235" t="s">
        <v>97</v>
      </c>
      <c r="B116" s="291" t="s">
        <v>520</v>
      </c>
    </row>
    <row r="117" spans="1:2" ht="25.5" x14ac:dyDescent="0.25">
      <c r="A117" s="235">
        <v>175</v>
      </c>
      <c r="B117" s="291" t="s">
        <v>584</v>
      </c>
    </row>
    <row r="118" spans="1:2" ht="25.5" x14ac:dyDescent="0.25">
      <c r="A118" s="235" t="s">
        <v>98</v>
      </c>
      <c r="B118" s="10" t="s">
        <v>586</v>
      </c>
    </row>
    <row r="119" spans="1:2" ht="25.5" x14ac:dyDescent="0.25">
      <c r="A119" s="235" t="s">
        <v>99</v>
      </c>
      <c r="B119" s="291" t="s">
        <v>677</v>
      </c>
    </row>
    <row r="120" spans="1:2" ht="25.5" x14ac:dyDescent="0.25">
      <c r="A120" s="235" t="s">
        <v>100</v>
      </c>
      <c r="B120" s="291" t="s">
        <v>585</v>
      </c>
    </row>
    <row r="121" spans="1:2" ht="25.5" x14ac:dyDescent="0.25">
      <c r="A121" s="235" t="s">
        <v>101</v>
      </c>
      <c r="B121" s="291" t="s">
        <v>672</v>
      </c>
    </row>
    <row r="122" spans="1:2" ht="25.5" x14ac:dyDescent="0.25">
      <c r="A122" s="235" t="s">
        <v>102</v>
      </c>
      <c r="B122" s="291" t="s">
        <v>673</v>
      </c>
    </row>
    <row r="123" spans="1:2" ht="25.5" x14ac:dyDescent="0.25">
      <c r="A123" s="235" t="s">
        <v>103</v>
      </c>
      <c r="B123" s="291" t="s">
        <v>910</v>
      </c>
    </row>
    <row r="124" spans="1:2" ht="25.5" x14ac:dyDescent="0.25">
      <c r="A124" s="235" t="s">
        <v>104</v>
      </c>
      <c r="B124" s="291" t="s">
        <v>521</v>
      </c>
    </row>
    <row r="125" spans="1:2" x14ac:dyDescent="0.25">
      <c r="A125" s="235">
        <v>177</v>
      </c>
      <c r="B125" s="334" t="s">
        <v>522</v>
      </c>
    </row>
    <row r="126" spans="1:2" ht="25.5" x14ac:dyDescent="0.25">
      <c r="A126" s="235" t="s">
        <v>105</v>
      </c>
      <c r="B126" s="291" t="s">
        <v>686</v>
      </c>
    </row>
    <row r="127" spans="1:2" ht="25.5" x14ac:dyDescent="0.25">
      <c r="A127" s="235" t="s">
        <v>106</v>
      </c>
      <c r="B127" s="291" t="s">
        <v>688</v>
      </c>
    </row>
    <row r="128" spans="1:2" ht="25.5" x14ac:dyDescent="0.25">
      <c r="A128" s="235">
        <v>179</v>
      </c>
      <c r="B128" s="291" t="s">
        <v>523</v>
      </c>
    </row>
    <row r="129" spans="1:2" ht="51" x14ac:dyDescent="0.25">
      <c r="A129" s="235">
        <v>190</v>
      </c>
      <c r="B129" s="291" t="s">
        <v>524</v>
      </c>
    </row>
    <row r="130" spans="1:2" ht="51" x14ac:dyDescent="0.25">
      <c r="A130" s="235" t="s">
        <v>107</v>
      </c>
      <c r="B130" s="10" t="s">
        <v>525</v>
      </c>
    </row>
    <row r="131" spans="1:2" ht="51" x14ac:dyDescent="0.25">
      <c r="A131" s="235" t="s">
        <v>108</v>
      </c>
      <c r="B131" s="10" t="s">
        <v>526</v>
      </c>
    </row>
    <row r="132" spans="1:2" ht="63.75" x14ac:dyDescent="0.25">
      <c r="A132" s="235" t="s">
        <v>109</v>
      </c>
      <c r="B132" s="10" t="s">
        <v>110</v>
      </c>
    </row>
    <row r="133" spans="1:2" ht="63.75" x14ac:dyDescent="0.25">
      <c r="A133" s="235" t="s">
        <v>111</v>
      </c>
      <c r="B133" s="10" t="s">
        <v>112</v>
      </c>
    </row>
    <row r="134" spans="1:2" x14ac:dyDescent="0.25">
      <c r="A134" s="235" t="s">
        <v>113</v>
      </c>
      <c r="B134" s="10" t="s">
        <v>114</v>
      </c>
    </row>
    <row r="135" spans="1:2" ht="25.5" x14ac:dyDescent="0.25">
      <c r="A135" s="235" t="s">
        <v>115</v>
      </c>
      <c r="B135" s="291" t="s">
        <v>529</v>
      </c>
    </row>
    <row r="136" spans="1:2" x14ac:dyDescent="0.25">
      <c r="A136" s="235" t="s">
        <v>116</v>
      </c>
      <c r="B136" s="10" t="s">
        <v>530</v>
      </c>
    </row>
    <row r="137" spans="1:2" ht="25.5" x14ac:dyDescent="0.25">
      <c r="A137" s="235" t="s">
        <v>117</v>
      </c>
      <c r="B137" s="10" t="s">
        <v>118</v>
      </c>
    </row>
    <row r="138" spans="1:2" x14ac:dyDescent="0.25">
      <c r="A138" s="235" t="s">
        <v>119</v>
      </c>
      <c r="B138" s="291" t="s">
        <v>531</v>
      </c>
    </row>
    <row r="139" spans="1:2" x14ac:dyDescent="0.25">
      <c r="A139" s="235"/>
      <c r="B139" s="291"/>
    </row>
    <row r="140" spans="1:2" ht="25.5" x14ac:dyDescent="0.25">
      <c r="A140" s="235">
        <v>200</v>
      </c>
      <c r="B140" s="142" t="s">
        <v>120</v>
      </c>
    </row>
    <row r="141" spans="1:2" ht="300" customHeight="1" x14ac:dyDescent="0.25">
      <c r="A141" s="235"/>
      <c r="B141" s="291" t="e" vm="3">
        <v>#VALUE!</v>
      </c>
    </row>
    <row r="142" spans="1:2" x14ac:dyDescent="0.25">
      <c r="A142" s="235">
        <v>206</v>
      </c>
      <c r="B142" s="291" t="s">
        <v>532</v>
      </c>
    </row>
    <row r="143" spans="1:2" x14ac:dyDescent="0.25">
      <c r="A143" s="235">
        <v>207</v>
      </c>
      <c r="B143" s="291" t="s">
        <v>533</v>
      </c>
    </row>
    <row r="144" spans="1:2" ht="25.5" x14ac:dyDescent="0.25">
      <c r="A144" s="235">
        <v>210</v>
      </c>
      <c r="B144" s="142" t="s">
        <v>534</v>
      </c>
    </row>
    <row r="145" spans="1:2" ht="51" x14ac:dyDescent="0.25">
      <c r="A145" s="235" t="s">
        <v>121</v>
      </c>
      <c r="B145" s="10" t="s">
        <v>535</v>
      </c>
    </row>
    <row r="146" spans="1:2" ht="63.75" x14ac:dyDescent="0.25">
      <c r="A146" s="235" t="s">
        <v>122</v>
      </c>
      <c r="B146" s="10" t="s">
        <v>536</v>
      </c>
    </row>
    <row r="147" spans="1:2" ht="25.5" x14ac:dyDescent="0.25">
      <c r="A147" s="235" t="s">
        <v>123</v>
      </c>
      <c r="B147" s="10" t="s">
        <v>692</v>
      </c>
    </row>
    <row r="148" spans="1:2" ht="89.25" x14ac:dyDescent="0.25">
      <c r="A148" s="235" t="s">
        <v>124</v>
      </c>
      <c r="B148" s="10" t="s">
        <v>537</v>
      </c>
    </row>
    <row r="149" spans="1:2" x14ac:dyDescent="0.25">
      <c r="A149" s="238"/>
      <c r="B149" s="291"/>
    </row>
    <row r="150" spans="1:2" ht="25.5" x14ac:dyDescent="0.25">
      <c r="A150" s="236">
        <v>300</v>
      </c>
      <c r="B150" s="142" t="s">
        <v>125</v>
      </c>
    </row>
    <row r="151" spans="1:2" ht="102" x14ac:dyDescent="0.25">
      <c r="A151" s="237">
        <v>310</v>
      </c>
      <c r="B151" s="10" t="s">
        <v>941</v>
      </c>
    </row>
    <row r="152" spans="1:2" ht="38.25" x14ac:dyDescent="0.25">
      <c r="A152" s="236">
        <v>311</v>
      </c>
      <c r="B152" s="10" t="s">
        <v>700</v>
      </c>
    </row>
    <row r="153" spans="1:2" ht="38.25" x14ac:dyDescent="0.25">
      <c r="A153" s="236">
        <v>312</v>
      </c>
      <c r="B153" s="10" t="s">
        <v>701</v>
      </c>
    </row>
    <row r="154" spans="1:2" ht="51" x14ac:dyDescent="0.25">
      <c r="A154" s="236">
        <v>320</v>
      </c>
      <c r="B154" s="10" t="s">
        <v>578</v>
      </c>
    </row>
    <row r="155" spans="1:2" ht="51" x14ac:dyDescent="0.25">
      <c r="A155" s="236">
        <v>321</v>
      </c>
      <c r="B155" s="10" t="s">
        <v>702</v>
      </c>
    </row>
    <row r="156" spans="1:2" ht="76.5" x14ac:dyDescent="0.25">
      <c r="A156" s="236">
        <v>322</v>
      </c>
      <c r="B156" s="10" t="s">
        <v>953</v>
      </c>
    </row>
    <row r="157" spans="1:2" ht="25.5" x14ac:dyDescent="0.25">
      <c r="A157" s="236">
        <v>323</v>
      </c>
      <c r="B157" s="10" t="s">
        <v>703</v>
      </c>
    </row>
    <row r="158" spans="1:2" ht="25.5" x14ac:dyDescent="0.25">
      <c r="A158" s="236">
        <v>324</v>
      </c>
      <c r="B158" s="10" t="s">
        <v>704</v>
      </c>
    </row>
    <row r="159" spans="1:2" ht="38.25" x14ac:dyDescent="0.25">
      <c r="A159" s="236">
        <v>325</v>
      </c>
      <c r="B159" s="10" t="s">
        <v>705</v>
      </c>
    </row>
    <row r="160" spans="1:2" ht="38.25" x14ac:dyDescent="0.25">
      <c r="A160" s="237">
        <v>326</v>
      </c>
      <c r="B160" s="332" t="s">
        <v>538</v>
      </c>
    </row>
    <row r="161" spans="1:2" ht="38.25" x14ac:dyDescent="0.25">
      <c r="A161" s="237">
        <v>330</v>
      </c>
      <c r="B161" s="10" t="s">
        <v>539</v>
      </c>
    </row>
    <row r="162" spans="1:2" ht="25.5" x14ac:dyDescent="0.25">
      <c r="A162" s="236">
        <v>331</v>
      </c>
      <c r="B162" s="10" t="s">
        <v>706</v>
      </c>
    </row>
    <row r="163" spans="1:2" ht="25.5" x14ac:dyDescent="0.25">
      <c r="A163" s="236">
        <v>332</v>
      </c>
      <c r="B163" s="10" t="s">
        <v>707</v>
      </c>
    </row>
    <row r="164" spans="1:2" ht="38.25" x14ac:dyDescent="0.25">
      <c r="A164" s="236">
        <v>333</v>
      </c>
      <c r="B164" s="10" t="s">
        <v>708</v>
      </c>
    </row>
    <row r="165" spans="1:2" ht="25.5" x14ac:dyDescent="0.25">
      <c r="A165" s="236">
        <v>334</v>
      </c>
      <c r="B165" s="10" t="s">
        <v>709</v>
      </c>
    </row>
    <row r="166" spans="1:2" ht="25.5" x14ac:dyDescent="0.25">
      <c r="A166" s="236">
        <v>335</v>
      </c>
      <c r="B166" s="10" t="s">
        <v>540</v>
      </c>
    </row>
    <row r="167" spans="1:2" x14ac:dyDescent="0.25">
      <c r="A167" s="238"/>
      <c r="B167" s="291"/>
    </row>
    <row r="168" spans="1:2" ht="102" x14ac:dyDescent="0.25">
      <c r="A168" s="235">
        <v>500</v>
      </c>
      <c r="B168" s="10" t="s">
        <v>541</v>
      </c>
    </row>
    <row r="169" spans="1:2" ht="25.5" x14ac:dyDescent="0.25">
      <c r="A169" s="235">
        <v>501</v>
      </c>
      <c r="B169" s="10" t="s">
        <v>710</v>
      </c>
    </row>
    <row r="170" spans="1:2" x14ac:dyDescent="0.25">
      <c r="A170" s="235">
        <v>505</v>
      </c>
      <c r="B170" s="291" t="s">
        <v>542</v>
      </c>
    </row>
    <row r="171" spans="1:2" ht="51" x14ac:dyDescent="0.25">
      <c r="A171" s="235">
        <v>506</v>
      </c>
      <c r="B171" s="291" t="s">
        <v>543</v>
      </c>
    </row>
    <row r="172" spans="1:2" ht="38.25" x14ac:dyDescent="0.25">
      <c r="A172" s="235">
        <v>510</v>
      </c>
      <c r="B172" s="10" t="s">
        <v>740</v>
      </c>
    </row>
    <row r="173" spans="1:2" ht="25.5" x14ac:dyDescent="0.25">
      <c r="A173" s="235" t="s">
        <v>126</v>
      </c>
      <c r="B173" s="10" t="s">
        <v>544</v>
      </c>
    </row>
    <row r="174" spans="1:2" x14ac:dyDescent="0.25">
      <c r="A174" s="235" t="s">
        <v>127</v>
      </c>
      <c r="B174" s="10" t="s">
        <v>1004</v>
      </c>
    </row>
    <row r="175" spans="1:2" x14ac:dyDescent="0.25">
      <c r="A175" s="235" t="s">
        <v>128</v>
      </c>
      <c r="B175" s="10" t="s">
        <v>1005</v>
      </c>
    </row>
    <row r="176" spans="1:2" x14ac:dyDescent="0.25">
      <c r="A176" s="235" t="s">
        <v>129</v>
      </c>
      <c r="B176" s="291" t="s">
        <v>587</v>
      </c>
    </row>
    <row r="177" spans="1:2" x14ac:dyDescent="0.25">
      <c r="A177" s="235" t="s">
        <v>130</v>
      </c>
      <c r="B177" s="291" t="s">
        <v>588</v>
      </c>
    </row>
    <row r="178" spans="1:2" x14ac:dyDescent="0.25">
      <c r="A178" s="235" t="s">
        <v>131</v>
      </c>
      <c r="B178" s="10" t="s">
        <v>711</v>
      </c>
    </row>
    <row r="179" spans="1:2" ht="25.5" x14ac:dyDescent="0.25">
      <c r="A179" s="235" t="s">
        <v>132</v>
      </c>
      <c r="B179" s="291" t="s">
        <v>746</v>
      </c>
    </row>
    <row r="180" spans="1:2" x14ac:dyDescent="0.25">
      <c r="A180" s="235" t="s">
        <v>133</v>
      </c>
      <c r="B180" s="10" t="s">
        <v>942</v>
      </c>
    </row>
    <row r="181" spans="1:2" x14ac:dyDescent="0.25">
      <c r="A181" s="235" t="s">
        <v>134</v>
      </c>
      <c r="B181" s="10" t="s">
        <v>954</v>
      </c>
    </row>
    <row r="182" spans="1:2" x14ac:dyDescent="0.25">
      <c r="A182" s="235" t="s">
        <v>135</v>
      </c>
      <c r="B182" s="10" t="s">
        <v>712</v>
      </c>
    </row>
    <row r="183" spans="1:2" x14ac:dyDescent="0.25">
      <c r="A183" s="235" t="s">
        <v>136</v>
      </c>
      <c r="B183" s="10" t="s">
        <v>713</v>
      </c>
    </row>
    <row r="184" spans="1:2" x14ac:dyDescent="0.25">
      <c r="A184" s="235" t="s">
        <v>1003</v>
      </c>
      <c r="B184" s="10" t="s">
        <v>749</v>
      </c>
    </row>
    <row r="185" spans="1:2" x14ac:dyDescent="0.25">
      <c r="A185" s="235" t="s">
        <v>137</v>
      </c>
      <c r="B185" s="291" t="s">
        <v>545</v>
      </c>
    </row>
    <row r="186" spans="1:2" x14ac:dyDescent="0.25">
      <c r="A186" s="235" t="s">
        <v>138</v>
      </c>
      <c r="B186" s="291" t="s">
        <v>546</v>
      </c>
    </row>
    <row r="187" spans="1:2" ht="38.25" x14ac:dyDescent="0.25">
      <c r="A187" s="235" t="s">
        <v>139</v>
      </c>
      <c r="B187" s="10" t="s">
        <v>714</v>
      </c>
    </row>
    <row r="188" spans="1:2" ht="114.75" x14ac:dyDescent="0.25">
      <c r="A188" s="235">
        <v>511</v>
      </c>
      <c r="B188" s="10" t="s">
        <v>715</v>
      </c>
    </row>
    <row r="189" spans="1:2" x14ac:dyDescent="0.25">
      <c r="A189" s="235">
        <v>530</v>
      </c>
      <c r="B189" s="291" t="s">
        <v>548</v>
      </c>
    </row>
    <row r="190" spans="1:2" x14ac:dyDescent="0.25">
      <c r="A190" s="235">
        <v>531</v>
      </c>
      <c r="B190" s="10" t="s">
        <v>549</v>
      </c>
    </row>
    <row r="191" spans="1:2" ht="38.25" x14ac:dyDescent="0.25">
      <c r="A191" s="235">
        <v>532</v>
      </c>
      <c r="B191" s="10" t="s">
        <v>550</v>
      </c>
    </row>
    <row r="192" spans="1:2" ht="25.5" x14ac:dyDescent="0.25">
      <c r="A192" s="235">
        <v>533</v>
      </c>
      <c r="B192" s="10" t="s">
        <v>944</v>
      </c>
    </row>
    <row r="193" spans="1:2" ht="76.5" x14ac:dyDescent="0.25">
      <c r="A193" s="235">
        <v>541</v>
      </c>
      <c r="B193" s="291" t="s">
        <v>765</v>
      </c>
    </row>
    <row r="194" spans="1:2" ht="38.25" x14ac:dyDescent="0.25">
      <c r="A194" s="235">
        <v>542</v>
      </c>
      <c r="B194" s="291" t="s">
        <v>552</v>
      </c>
    </row>
    <row r="195" spans="1:2" ht="89.25" x14ac:dyDescent="0.25">
      <c r="A195" s="235">
        <v>543</v>
      </c>
      <c r="B195" s="291" t="s">
        <v>551</v>
      </c>
    </row>
    <row r="196" spans="1:2" ht="25.5" x14ac:dyDescent="0.25">
      <c r="A196" s="235">
        <v>544</v>
      </c>
      <c r="B196" s="291" t="s">
        <v>553</v>
      </c>
    </row>
    <row r="197" spans="1:2" ht="63.75" x14ac:dyDescent="0.25">
      <c r="A197" s="235">
        <v>551</v>
      </c>
      <c r="B197" s="291" t="s">
        <v>554</v>
      </c>
    </row>
    <row r="198" spans="1:2" ht="63.75" x14ac:dyDescent="0.25">
      <c r="A198" s="235">
        <v>552</v>
      </c>
      <c r="B198" s="291" t="s">
        <v>555</v>
      </c>
    </row>
    <row r="199" spans="1:2" ht="25.5" x14ac:dyDescent="0.25">
      <c r="A199" s="235">
        <v>555</v>
      </c>
      <c r="B199" s="291" t="s">
        <v>556</v>
      </c>
    </row>
    <row r="200" spans="1:2" x14ac:dyDescent="0.25">
      <c r="A200" s="235">
        <v>561</v>
      </c>
      <c r="B200" s="10" t="s">
        <v>771</v>
      </c>
    </row>
    <row r="201" spans="1:2" x14ac:dyDescent="0.25">
      <c r="A201" s="235">
        <v>562</v>
      </c>
      <c r="B201" s="291" t="s">
        <v>772</v>
      </c>
    </row>
    <row r="202" spans="1:2" x14ac:dyDescent="0.25">
      <c r="A202" s="235">
        <v>563</v>
      </c>
      <c r="B202" s="291" t="s">
        <v>773</v>
      </c>
    </row>
    <row r="203" spans="1:2" ht="38.25" x14ac:dyDescent="0.25">
      <c r="A203" s="235">
        <v>564</v>
      </c>
      <c r="B203" s="291" t="s">
        <v>557</v>
      </c>
    </row>
    <row r="204" spans="1:2" ht="51" x14ac:dyDescent="0.25">
      <c r="A204" s="235">
        <v>566</v>
      </c>
      <c r="B204" s="10" t="s">
        <v>716</v>
      </c>
    </row>
    <row r="205" spans="1:2" ht="76.5" x14ac:dyDescent="0.25">
      <c r="A205" s="235">
        <v>567</v>
      </c>
      <c r="B205" s="10" t="s">
        <v>717</v>
      </c>
    </row>
    <row r="206" spans="1:2" x14ac:dyDescent="0.25">
      <c r="A206" s="235">
        <v>569</v>
      </c>
      <c r="B206" s="142" t="s">
        <v>140</v>
      </c>
    </row>
    <row r="207" spans="1:2" ht="25.5" x14ac:dyDescent="0.25">
      <c r="A207" s="235" t="s">
        <v>141</v>
      </c>
      <c r="B207" s="10" t="s">
        <v>781</v>
      </c>
    </row>
    <row r="208" spans="1:2" ht="25.5" x14ac:dyDescent="0.25">
      <c r="A208" s="235" t="s">
        <v>142</v>
      </c>
      <c r="B208" s="291" t="s">
        <v>778</v>
      </c>
    </row>
    <row r="209" spans="1:2" ht="25.5" x14ac:dyDescent="0.25">
      <c r="A209" s="235" t="s">
        <v>143</v>
      </c>
      <c r="B209" s="291" t="s">
        <v>589</v>
      </c>
    </row>
    <row r="210" spans="1:2" ht="25.5" x14ac:dyDescent="0.25">
      <c r="A210" s="235" t="s">
        <v>144</v>
      </c>
      <c r="B210" s="291" t="s">
        <v>590</v>
      </c>
    </row>
    <row r="211" spans="1:2" x14ac:dyDescent="0.25">
      <c r="A211" s="235" t="s">
        <v>145</v>
      </c>
      <c r="B211" s="10" t="s">
        <v>718</v>
      </c>
    </row>
    <row r="212" spans="1:2" x14ac:dyDescent="0.25">
      <c r="A212" s="235" t="s">
        <v>146</v>
      </c>
      <c r="B212" s="291" t="s">
        <v>911</v>
      </c>
    </row>
    <row r="213" spans="1:2" ht="25.5" x14ac:dyDescent="0.25">
      <c r="A213" s="235" t="s">
        <v>147</v>
      </c>
      <c r="B213" s="291" t="s">
        <v>558</v>
      </c>
    </row>
    <row r="214" spans="1:2" ht="38.25" x14ac:dyDescent="0.25">
      <c r="A214" s="235" t="s">
        <v>148</v>
      </c>
      <c r="B214" s="10" t="s">
        <v>559</v>
      </c>
    </row>
    <row r="215" spans="1:2" ht="89.25" x14ac:dyDescent="0.25">
      <c r="A215" s="235" t="s">
        <v>149</v>
      </c>
      <c r="B215" s="10" t="s">
        <v>719</v>
      </c>
    </row>
    <row r="216" spans="1:2" ht="25.5" x14ac:dyDescent="0.25">
      <c r="A216" s="235">
        <v>575</v>
      </c>
      <c r="B216" s="10" t="s">
        <v>720</v>
      </c>
    </row>
    <row r="217" spans="1:2" ht="89.25" x14ac:dyDescent="0.25">
      <c r="A217" s="236">
        <v>576</v>
      </c>
      <c r="B217" s="10" t="s">
        <v>920</v>
      </c>
    </row>
    <row r="218" spans="1:2" ht="63.75" x14ac:dyDescent="0.25">
      <c r="A218" s="236">
        <v>577</v>
      </c>
      <c r="B218" s="10" t="s">
        <v>721</v>
      </c>
    </row>
    <row r="219" spans="1:2" ht="25.5" x14ac:dyDescent="0.25">
      <c r="A219" s="236">
        <v>578</v>
      </c>
      <c r="B219" s="10" t="s">
        <v>787</v>
      </c>
    </row>
    <row r="220" spans="1:2" x14ac:dyDescent="0.25">
      <c r="A220" s="235">
        <v>579</v>
      </c>
      <c r="B220" s="142" t="s">
        <v>560</v>
      </c>
    </row>
    <row r="221" spans="1:2" ht="38.25" x14ac:dyDescent="0.25">
      <c r="A221" s="235">
        <v>580</v>
      </c>
      <c r="B221" s="10" t="s">
        <v>790</v>
      </c>
    </row>
    <row r="222" spans="1:2" ht="38.25" x14ac:dyDescent="0.25">
      <c r="A222" s="235">
        <v>581</v>
      </c>
      <c r="B222" s="291" t="s">
        <v>561</v>
      </c>
    </row>
    <row r="223" spans="1:2" x14ac:dyDescent="0.25">
      <c r="A223" s="235">
        <v>582</v>
      </c>
      <c r="B223" s="10" t="s">
        <v>150</v>
      </c>
    </row>
    <row r="224" spans="1:2" ht="25.5" x14ac:dyDescent="0.25">
      <c r="A224" s="237">
        <v>585</v>
      </c>
      <c r="B224" s="332" t="s">
        <v>562</v>
      </c>
    </row>
    <row r="225" spans="1:2" ht="25.5" x14ac:dyDescent="0.25">
      <c r="A225" s="235">
        <v>588</v>
      </c>
      <c r="B225" s="291" t="s">
        <v>563</v>
      </c>
    </row>
    <row r="226" spans="1:2" x14ac:dyDescent="0.25">
      <c r="A226" s="235">
        <v>589</v>
      </c>
      <c r="B226" s="291" t="s">
        <v>564</v>
      </c>
    </row>
    <row r="227" spans="1:2" ht="51" x14ac:dyDescent="0.25">
      <c r="A227" s="235">
        <v>591</v>
      </c>
      <c r="B227" s="10" t="s">
        <v>722</v>
      </c>
    </row>
    <row r="228" spans="1:2" ht="51" x14ac:dyDescent="0.25">
      <c r="A228" s="235">
        <v>592</v>
      </c>
      <c r="B228" s="10" t="s">
        <v>723</v>
      </c>
    </row>
    <row r="229" spans="1:2" ht="25.5" x14ac:dyDescent="0.25">
      <c r="A229" s="235">
        <v>599</v>
      </c>
      <c r="B229" s="10" t="s">
        <v>724</v>
      </c>
    </row>
    <row r="230" spans="1:2" x14ac:dyDescent="0.25">
      <c r="A230" s="235"/>
      <c r="B230" s="291"/>
    </row>
    <row r="231" spans="1:2" ht="25.5" x14ac:dyDescent="0.25">
      <c r="A231" s="235">
        <v>600</v>
      </c>
      <c r="B231" s="10" t="s">
        <v>151</v>
      </c>
    </row>
    <row r="232" spans="1:2" x14ac:dyDescent="0.25">
      <c r="A232" s="235">
        <v>610</v>
      </c>
      <c r="B232" s="10" t="s">
        <v>725</v>
      </c>
    </row>
    <row r="233" spans="1:2" ht="25.5" x14ac:dyDescent="0.25">
      <c r="A233" s="235">
        <v>612</v>
      </c>
      <c r="B233" s="291" t="s">
        <v>876</v>
      </c>
    </row>
    <row r="234" spans="1:2" ht="25.5" x14ac:dyDescent="0.25">
      <c r="A234" s="235">
        <v>613</v>
      </c>
      <c r="B234" s="291" t="s">
        <v>881</v>
      </c>
    </row>
    <row r="235" spans="1:2" x14ac:dyDescent="0.25">
      <c r="A235" s="235">
        <v>615</v>
      </c>
      <c r="B235" s="291" t="s">
        <v>565</v>
      </c>
    </row>
    <row r="236" spans="1:2" ht="38.25" x14ac:dyDescent="0.25">
      <c r="A236" s="235">
        <v>620</v>
      </c>
      <c r="B236" s="291" t="s">
        <v>566</v>
      </c>
    </row>
    <row r="237" spans="1:2" ht="38.25" x14ac:dyDescent="0.25">
      <c r="A237" s="235">
        <v>621</v>
      </c>
      <c r="B237" s="291" t="s">
        <v>592</v>
      </c>
    </row>
    <row r="238" spans="1:2" ht="38.25" x14ac:dyDescent="0.25">
      <c r="A238" s="235">
        <v>622</v>
      </c>
      <c r="B238" s="10" t="s">
        <v>726</v>
      </c>
    </row>
    <row r="239" spans="1:2" x14ac:dyDescent="0.25">
      <c r="A239" s="235">
        <v>623</v>
      </c>
      <c r="B239" s="291" t="s">
        <v>918</v>
      </c>
    </row>
    <row r="240" spans="1:2" ht="38.25" x14ac:dyDescent="0.25">
      <c r="A240" s="235">
        <v>624</v>
      </c>
      <c r="B240" s="10" t="s">
        <v>727</v>
      </c>
    </row>
    <row r="241" spans="1:2" ht="51" x14ac:dyDescent="0.25">
      <c r="A241" s="235">
        <v>625</v>
      </c>
      <c r="B241" s="291" t="s">
        <v>567</v>
      </c>
    </row>
    <row r="242" spans="1:2" ht="38.25" x14ac:dyDescent="0.25">
      <c r="A242" s="235">
        <v>626</v>
      </c>
      <c r="B242" s="291" t="s">
        <v>568</v>
      </c>
    </row>
    <row r="243" spans="1:2" ht="38.25" x14ac:dyDescent="0.25">
      <c r="A243" s="235">
        <v>627</v>
      </c>
      <c r="B243" s="10" t="s">
        <v>728</v>
      </c>
    </row>
    <row r="244" spans="1:2" ht="27.75" x14ac:dyDescent="0.25">
      <c r="A244" s="235">
        <v>650</v>
      </c>
      <c r="B244" s="10" t="s">
        <v>595</v>
      </c>
    </row>
    <row r="245" spans="1:2" x14ac:dyDescent="0.25">
      <c r="A245" s="235">
        <v>655</v>
      </c>
      <c r="B245" s="291" t="s">
        <v>579</v>
      </c>
    </row>
    <row r="246" spans="1:2" x14ac:dyDescent="0.25">
      <c r="A246" s="235">
        <v>690</v>
      </c>
      <c r="B246" s="10" t="s">
        <v>729</v>
      </c>
    </row>
    <row r="247" spans="1:2" x14ac:dyDescent="0.25">
      <c r="A247" s="235"/>
      <c r="B247" s="291"/>
    </row>
    <row r="248" spans="1:2" x14ac:dyDescent="0.25">
      <c r="A248" s="235">
        <v>700</v>
      </c>
      <c r="B248" s="142" t="s">
        <v>569</v>
      </c>
    </row>
    <row r="249" spans="1:2" ht="25.5" x14ac:dyDescent="0.25">
      <c r="A249" s="235">
        <v>710</v>
      </c>
      <c r="B249" s="291" t="s">
        <v>591</v>
      </c>
    </row>
    <row r="250" spans="1:2" ht="51" x14ac:dyDescent="0.25">
      <c r="A250" s="235">
        <v>711</v>
      </c>
      <c r="B250" s="291" t="s">
        <v>572</v>
      </c>
    </row>
    <row r="251" spans="1:2" ht="25.5" x14ac:dyDescent="0.25">
      <c r="A251" s="235">
        <v>712</v>
      </c>
      <c r="B251" s="291" t="s">
        <v>571</v>
      </c>
    </row>
    <row r="252" spans="1:2" x14ac:dyDescent="0.25">
      <c r="A252" s="235">
        <v>713</v>
      </c>
      <c r="B252" s="291" t="s">
        <v>570</v>
      </c>
    </row>
    <row r="253" spans="1:2" x14ac:dyDescent="0.25">
      <c r="A253" s="235">
        <v>714</v>
      </c>
      <c r="B253" s="291" t="s">
        <v>573</v>
      </c>
    </row>
    <row r="254" spans="1:2" ht="25.5" x14ac:dyDescent="0.25">
      <c r="A254" s="235">
        <v>715</v>
      </c>
      <c r="B254" s="291" t="s">
        <v>574</v>
      </c>
    </row>
    <row r="255" spans="1:2" x14ac:dyDescent="0.25">
      <c r="A255" s="235">
        <v>716</v>
      </c>
      <c r="B255" s="291" t="s">
        <v>886</v>
      </c>
    </row>
    <row r="256" spans="1:2" x14ac:dyDescent="0.25">
      <c r="A256" s="235"/>
      <c r="B256" s="291"/>
    </row>
    <row r="257" spans="1:2" ht="114.75" x14ac:dyDescent="0.25">
      <c r="A257" s="235">
        <v>900</v>
      </c>
      <c r="B257" s="10" t="s">
        <v>730</v>
      </c>
    </row>
    <row r="258" spans="1:2" x14ac:dyDescent="0.25">
      <c r="A258" s="235">
        <v>910</v>
      </c>
      <c r="B258" s="10" t="s">
        <v>576</v>
      </c>
    </row>
    <row r="259" spans="1:2" ht="76.5" x14ac:dyDescent="0.25">
      <c r="A259" s="235">
        <v>911</v>
      </c>
      <c r="B259" s="10" t="s">
        <v>731</v>
      </c>
    </row>
    <row r="260" spans="1:2" ht="51" x14ac:dyDescent="0.25">
      <c r="A260" s="235">
        <v>912</v>
      </c>
      <c r="B260" s="10" t="s">
        <v>732</v>
      </c>
    </row>
    <row r="261" spans="1:2" x14ac:dyDescent="0.25">
      <c r="A261" s="235">
        <v>920</v>
      </c>
      <c r="B261" s="10" t="s">
        <v>577</v>
      </c>
    </row>
    <row r="262" spans="1:2" ht="38.25" x14ac:dyDescent="0.25">
      <c r="A262" s="235">
        <v>921</v>
      </c>
      <c r="B262" s="10" t="s">
        <v>582</v>
      </c>
    </row>
    <row r="263" spans="1:2" ht="25.5" x14ac:dyDescent="0.25">
      <c r="A263" s="235">
        <v>922</v>
      </c>
      <c r="B263" s="10" t="s">
        <v>583</v>
      </c>
    </row>
    <row r="264" spans="1:2" ht="89.25" x14ac:dyDescent="0.25">
      <c r="A264" s="235">
        <v>923</v>
      </c>
      <c r="B264" s="10" t="s">
        <v>733</v>
      </c>
    </row>
    <row r="265" spans="1:2" ht="89.25" x14ac:dyDescent="0.25">
      <c r="A265" s="235">
        <v>924</v>
      </c>
      <c r="B265" s="10" t="s">
        <v>734</v>
      </c>
    </row>
    <row r="266" spans="1:2" ht="63.75" x14ac:dyDescent="0.25">
      <c r="A266" s="235">
        <v>925</v>
      </c>
      <c r="B266" s="10" t="s">
        <v>735</v>
      </c>
    </row>
    <row r="267" spans="1:2" ht="63.75" x14ac:dyDescent="0.25">
      <c r="A267" s="235">
        <v>926</v>
      </c>
      <c r="B267" s="10" t="s">
        <v>736</v>
      </c>
    </row>
    <row r="268" spans="1:2" ht="63.75" x14ac:dyDescent="0.25">
      <c r="A268" s="235">
        <v>927</v>
      </c>
      <c r="B268" s="10" t="s">
        <v>737</v>
      </c>
    </row>
    <row r="269" spans="1:2" ht="63.75" x14ac:dyDescent="0.25">
      <c r="A269" s="235">
        <v>928</v>
      </c>
      <c r="B269" s="10" t="s">
        <v>738</v>
      </c>
    </row>
    <row r="270" spans="1:2" ht="63.75" x14ac:dyDescent="0.25">
      <c r="A270" s="235">
        <v>929</v>
      </c>
      <c r="B270" s="10" t="s">
        <v>739</v>
      </c>
    </row>
    <row r="271" spans="1:2" ht="63.75" x14ac:dyDescent="0.25">
      <c r="A271" s="235">
        <v>930</v>
      </c>
      <c r="B271" s="10" t="s">
        <v>593</v>
      </c>
    </row>
    <row r="272" spans="1:2" x14ac:dyDescent="0.25">
      <c r="A272" s="235"/>
      <c r="B272" s="291"/>
    </row>
    <row r="273" spans="1:2" x14ac:dyDescent="0.25">
      <c r="A273" s="234"/>
      <c r="B273" s="147" t="s">
        <v>152</v>
      </c>
    </row>
    <row r="274" spans="1:2" x14ac:dyDescent="0.25">
      <c r="A274" s="234" t="s">
        <v>153</v>
      </c>
      <c r="B274" s="10" t="s">
        <v>154</v>
      </c>
    </row>
    <row r="275" spans="1:2" x14ac:dyDescent="0.25">
      <c r="A275" s="234" t="s">
        <v>155</v>
      </c>
      <c r="B275" s="10" t="s">
        <v>156</v>
      </c>
    </row>
    <row r="276" spans="1:2" ht="15.75" x14ac:dyDescent="0.25">
      <c r="A276" s="234" t="s">
        <v>157</v>
      </c>
      <c r="B276" s="10" t="s">
        <v>158</v>
      </c>
    </row>
    <row r="277" spans="1:2" ht="15.75" x14ac:dyDescent="0.25">
      <c r="A277" s="234" t="s">
        <v>159</v>
      </c>
      <c r="B277" s="10" t="s">
        <v>160</v>
      </c>
    </row>
    <row r="278" spans="1:2" x14ac:dyDescent="0.25">
      <c r="A278" s="234" t="s">
        <v>161</v>
      </c>
      <c r="B278" s="10" t="s">
        <v>162</v>
      </c>
    </row>
    <row r="279" spans="1:2" x14ac:dyDescent="0.25">
      <c r="A279" s="234" t="s">
        <v>163</v>
      </c>
      <c r="B279" s="10" t="s">
        <v>164</v>
      </c>
    </row>
    <row r="280" spans="1:2" x14ac:dyDescent="0.25">
      <c r="A280" s="234" t="s">
        <v>165</v>
      </c>
      <c r="B280" s="10" t="s">
        <v>166</v>
      </c>
    </row>
    <row r="281" spans="1:2" x14ac:dyDescent="0.25">
      <c r="A281" s="234"/>
      <c r="B281" s="10"/>
    </row>
    <row r="282" spans="1:2" x14ac:dyDescent="0.25">
      <c r="A282" s="234"/>
      <c r="B282" s="142" t="s">
        <v>167</v>
      </c>
    </row>
    <row r="283" spans="1:2" x14ac:dyDescent="0.25">
      <c r="A283" s="234" t="s">
        <v>168</v>
      </c>
      <c r="B283" s="10" t="s">
        <v>169</v>
      </c>
    </row>
    <row r="284" spans="1:2" x14ac:dyDescent="0.25">
      <c r="A284" s="234" t="s">
        <v>170</v>
      </c>
      <c r="B284" s="10" t="s">
        <v>171</v>
      </c>
    </row>
    <row r="285" spans="1:2" x14ac:dyDescent="0.25">
      <c r="A285" s="293" t="s">
        <v>172</v>
      </c>
      <c r="B285" s="292" t="s">
        <v>173</v>
      </c>
    </row>
    <row r="286" spans="1:2" x14ac:dyDescent="0.25"/>
  </sheetData>
  <sheetProtection algorithmName="SHA-512" hashValue="oLF+Mr520CXweZw5QoziLPMIw4Wz8oZcSxjJvKjO1Q/uDjWicR6Fg9EBEhHdtGjG/5t0Ea6WmBNSsVNDnaJqwQ==" saltValue="1WVVEnxAbsGYO+kqUUD6kw==" spinCount="100000" sheet="1" objects="1" scenarios="1"/>
  <phoneticPr fontId="8" type="noConversion"/>
  <pageMargins left="0.78740157480314965" right="0.6692913385826772" top="1.1417322834645669" bottom="1.3385826771653544" header="0.51181102362204722" footer="0.51181102362204722"/>
  <pageSetup paperSize="9" fitToHeight="0" orientation="portrait" r:id="rId1"/>
  <headerFooter alignWithMargins="0">
    <oddHeader>&amp;L&amp;G&amp;R&amp;G</oddHeader>
    <oddFooter>&amp;L&amp;"Calibri,Standard"&amp;10&amp;F&amp;C&amp;"Calibri,Standard"&amp;10&amp;P / &amp;N &amp;R&amp;"Calibri,Standard"&amp;10&amp;D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AL164"/>
  <sheetViews>
    <sheetView zoomScale="98" zoomScaleNormal="98" workbookViewId="0">
      <selection activeCell="C8" sqref="C8"/>
    </sheetView>
  </sheetViews>
  <sheetFormatPr baseColWidth="10" defaultColWidth="0" defaultRowHeight="12.75" zeroHeight="1" x14ac:dyDescent="0.2"/>
  <cols>
    <col min="1" max="1" width="5.28515625" style="31" customWidth="1"/>
    <col min="2" max="2" width="22.7109375" style="1" customWidth="1"/>
    <col min="3" max="3" width="40.85546875" style="1" customWidth="1"/>
    <col min="4" max="4" width="12.28515625" style="1" customWidth="1"/>
    <col min="5" max="5" width="8" style="1" customWidth="1"/>
    <col min="6" max="6" width="6.7109375" style="1" customWidth="1"/>
    <col min="7" max="7" width="2.85546875" style="1" customWidth="1"/>
    <col min="8" max="8" width="1.140625" style="1" customWidth="1"/>
    <col min="9" max="9" width="5.140625" style="1" customWidth="1"/>
    <col min="10" max="10" width="7.7109375" style="1" customWidth="1"/>
    <col min="11" max="11" width="12.28515625" style="1" customWidth="1"/>
    <col min="12" max="12" width="1.140625" style="1" customWidth="1"/>
    <col min="13" max="13" width="5.28515625" style="1" customWidth="1"/>
    <col min="14" max="14" width="2.85546875" style="1" customWidth="1"/>
    <col min="15" max="15" width="40.85546875" style="1" customWidth="1"/>
    <col min="16" max="16" width="2.85546875" style="1" customWidth="1"/>
    <col min="17" max="17" width="40.85546875" style="1" customWidth="1"/>
    <col min="18" max="18" width="5.28515625" style="1" customWidth="1"/>
    <col min="19" max="19" width="6.28515625" style="1" hidden="1" customWidth="1"/>
    <col min="20" max="20" width="6.85546875" style="1" hidden="1" customWidth="1"/>
    <col min="21" max="21" width="6.28515625" style="1" hidden="1" customWidth="1"/>
    <col min="22" max="22" width="6.28515625" style="2" hidden="1" customWidth="1"/>
    <col min="23" max="23" width="7" style="2" hidden="1" customWidth="1"/>
    <col min="24" max="24" width="7.28515625" style="2" hidden="1" customWidth="1"/>
    <col min="25" max="38" width="10.85546875" style="354" hidden="1" customWidth="1"/>
    <col min="39" max="16384" width="10.85546875" style="1" hidden="1"/>
  </cols>
  <sheetData>
    <row r="1" spans="1:38" ht="17.100000000000001" customHeight="1" x14ac:dyDescent="0.25">
      <c r="A1" s="178">
        <v>100</v>
      </c>
      <c r="B1" s="148" t="s">
        <v>174</v>
      </c>
      <c r="C1" s="2"/>
      <c r="V1" s="1"/>
      <c r="W1" s="1"/>
      <c r="X1" s="1"/>
    </row>
    <row r="2" spans="1:38" ht="12.95" customHeight="1" x14ac:dyDescent="0.2">
      <c r="B2" s="5"/>
      <c r="C2" s="2"/>
      <c r="K2" s="205">
        <v>105</v>
      </c>
      <c r="M2" s="205">
        <v>105</v>
      </c>
      <c r="V2" s="1"/>
      <c r="W2" s="1"/>
      <c r="X2" s="1"/>
    </row>
    <row r="3" spans="1:38" ht="12.95" customHeight="1" x14ac:dyDescent="0.2">
      <c r="A3" s="184" t="s">
        <v>2</v>
      </c>
      <c r="C3" s="28" t="s">
        <v>175</v>
      </c>
      <c r="J3" s="129"/>
      <c r="K3" s="5" t="s">
        <v>804</v>
      </c>
      <c r="O3" s="5" t="s">
        <v>176</v>
      </c>
      <c r="Q3" s="5" t="s">
        <v>438</v>
      </c>
      <c r="V3" s="1"/>
      <c r="W3" s="1"/>
      <c r="X3" s="1"/>
    </row>
    <row r="4" spans="1:38" ht="12.95" customHeight="1" x14ac:dyDescent="0.2">
      <c r="A4" s="184" t="s">
        <v>123</v>
      </c>
      <c r="C4" s="152" t="s">
        <v>177</v>
      </c>
      <c r="J4" s="129"/>
      <c r="V4" s="1"/>
      <c r="W4" s="1"/>
      <c r="X4" s="1"/>
    </row>
    <row r="5" spans="1:38" ht="12.95" customHeight="1" x14ac:dyDescent="0.2">
      <c r="A5" s="184" t="s">
        <v>178</v>
      </c>
      <c r="C5" s="171" t="s">
        <v>805</v>
      </c>
      <c r="J5" s="129"/>
      <c r="V5" s="1"/>
      <c r="W5" s="1"/>
      <c r="X5" s="1"/>
    </row>
    <row r="6" spans="1:38" ht="12.95" customHeight="1" x14ac:dyDescent="0.2">
      <c r="A6" s="184" t="s">
        <v>9</v>
      </c>
      <c r="B6" s="1" t="s">
        <v>179</v>
      </c>
      <c r="C6" s="2"/>
      <c r="V6" s="1"/>
      <c r="W6" s="1"/>
      <c r="X6" s="1"/>
    </row>
    <row r="7" spans="1:38" ht="12.95" customHeight="1" x14ac:dyDescent="0.2">
      <c r="A7" s="176"/>
      <c r="B7" s="5"/>
      <c r="C7" s="2"/>
      <c r="V7" s="1"/>
      <c r="W7" s="1"/>
      <c r="X7" s="1"/>
    </row>
    <row r="8" spans="1:38" ht="12.95" customHeight="1" x14ac:dyDescent="0.2">
      <c r="A8" s="175">
        <v>106</v>
      </c>
      <c r="B8" s="5" t="s">
        <v>180</v>
      </c>
      <c r="C8" s="130" t="s">
        <v>961</v>
      </c>
      <c r="D8" s="5"/>
      <c r="E8" s="5"/>
      <c r="F8" s="5"/>
      <c r="I8" s="5"/>
      <c r="J8" s="5"/>
      <c r="K8" s="5"/>
      <c r="M8" s="5"/>
      <c r="O8" s="123"/>
      <c r="Q8" s="123"/>
      <c r="V8" s="1"/>
      <c r="W8" s="1"/>
      <c r="X8" s="1"/>
    </row>
    <row r="9" spans="1:38" ht="12.95" customHeight="1" x14ac:dyDescent="0.2">
      <c r="A9" s="176"/>
      <c r="B9" s="5"/>
      <c r="C9" s="123" t="s">
        <v>962</v>
      </c>
      <c r="D9" s="5"/>
      <c r="E9" s="5"/>
      <c r="F9" s="5"/>
      <c r="I9" s="5"/>
      <c r="J9" s="5"/>
      <c r="K9" s="5"/>
      <c r="M9" s="5"/>
      <c r="O9" s="123"/>
      <c r="Q9" s="123"/>
      <c r="V9" s="1"/>
      <c r="W9" s="1"/>
      <c r="X9" s="1"/>
    </row>
    <row r="10" spans="1:38" ht="12.95" customHeight="1" x14ac:dyDescent="0.2">
      <c r="A10" s="176"/>
      <c r="B10" s="5"/>
      <c r="C10" s="123" t="s">
        <v>963</v>
      </c>
      <c r="D10" s="5"/>
      <c r="E10" s="5"/>
      <c r="F10" s="5"/>
      <c r="I10" s="5"/>
      <c r="J10" s="5"/>
      <c r="K10" s="5"/>
      <c r="M10" s="5"/>
      <c r="O10" s="123"/>
      <c r="Q10" s="123"/>
      <c r="V10" s="1"/>
      <c r="W10" s="1"/>
      <c r="X10" s="1"/>
    </row>
    <row r="11" spans="1:38" ht="12.95" customHeight="1" x14ac:dyDescent="0.2">
      <c r="A11" s="176"/>
      <c r="B11" s="5"/>
      <c r="C11" s="5"/>
      <c r="D11" s="5"/>
      <c r="E11" s="5"/>
      <c r="F11" s="5"/>
      <c r="I11" s="5"/>
      <c r="J11" s="5"/>
      <c r="K11" s="5"/>
      <c r="M11" s="5"/>
      <c r="V11" s="1"/>
      <c r="W11" s="1"/>
      <c r="X11" s="1"/>
    </row>
    <row r="12" spans="1:38" ht="12.95" customHeight="1" x14ac:dyDescent="0.2">
      <c r="A12" s="175">
        <v>107</v>
      </c>
      <c r="B12" s="5" t="s">
        <v>181</v>
      </c>
      <c r="C12" s="130" t="s">
        <v>964</v>
      </c>
      <c r="D12" s="5"/>
      <c r="E12" s="5"/>
      <c r="F12" s="5"/>
      <c r="I12" s="5"/>
      <c r="J12" s="5"/>
      <c r="K12" s="5"/>
      <c r="M12" s="5"/>
      <c r="O12" s="123"/>
      <c r="Q12" s="123"/>
      <c r="V12" s="1"/>
      <c r="W12" s="1"/>
      <c r="X12" s="1"/>
    </row>
    <row r="13" spans="1:38" ht="12.95" customHeight="1" x14ac:dyDescent="0.2">
      <c r="A13" s="176"/>
      <c r="S13" s="2"/>
      <c r="T13" s="2"/>
      <c r="U13" s="2"/>
      <c r="X13" s="36"/>
    </row>
    <row r="14" spans="1:38" s="36" customFormat="1" ht="84" customHeight="1" x14ac:dyDescent="0.2">
      <c r="A14" s="175">
        <v>108</v>
      </c>
      <c r="B14" s="131" t="s">
        <v>182</v>
      </c>
      <c r="C14" s="131" t="str">
        <f>IF(W14&gt;10,X15,IF(S14&gt;0,U14,""))</f>
        <v/>
      </c>
      <c r="D14" s="131"/>
      <c r="E14" s="131"/>
      <c r="F14" s="131"/>
      <c r="I14" s="131"/>
      <c r="J14" s="131"/>
      <c r="K14" s="131"/>
      <c r="M14" s="131"/>
      <c r="O14" s="123"/>
      <c r="Q14" s="123"/>
      <c r="S14" s="2"/>
      <c r="U14" s="2"/>
      <c r="V14" s="2"/>
      <c r="W14" s="2">
        <f>COUNTIF(U17:W164,"&gt;0")</f>
        <v>4</v>
      </c>
      <c r="X14" s="36" t="str">
        <f>_xlfn.TEXTJOIN(", ",TRUE,X18:X164)</f>
        <v>115n: Le rendement thermique annuel du producteur supplémentaire de chaleur est supposé très faible, 12=g: Le prix d'achat de l'électricité de la PAC est supposé très élevé, 145e: Les investissements pour les sondes géothermiques ou l'utilisation des eaux souterraines sont très faibles, 160e: Le taux d'intérêt indiqué est très faible., 160e: Le taux d'intérêt indiqué est très faible.</v>
      </c>
      <c r="Y14" s="355"/>
      <c r="Z14" s="355"/>
      <c r="AA14" s="355"/>
      <c r="AB14" s="355"/>
      <c r="AC14" s="355"/>
      <c r="AD14" s="355"/>
      <c r="AE14" s="355"/>
      <c r="AF14" s="355"/>
      <c r="AG14" s="355"/>
      <c r="AH14" s="355"/>
      <c r="AI14" s="355"/>
      <c r="AJ14" s="355"/>
      <c r="AK14" s="355"/>
      <c r="AL14" s="355"/>
    </row>
    <row r="15" spans="1:38" ht="12.95" customHeight="1" x14ac:dyDescent="0.2">
      <c r="A15" s="176"/>
      <c r="S15" s="2"/>
      <c r="T15" s="2"/>
      <c r="U15" s="2"/>
      <c r="X15" s="2" t="s">
        <v>476</v>
      </c>
      <c r="Y15" s="354" t="s">
        <v>477</v>
      </c>
    </row>
    <row r="16" spans="1:38" s="5" customFormat="1" ht="12.95" customHeight="1" x14ac:dyDescent="0.2">
      <c r="A16" s="176"/>
      <c r="C16" s="8"/>
      <c r="E16" s="1"/>
      <c r="F16" s="1"/>
      <c r="G16" s="1"/>
      <c r="H16" s="1"/>
      <c r="I16" s="1"/>
      <c r="J16" s="1"/>
      <c r="K16" s="1"/>
      <c r="L16" s="1"/>
      <c r="M16" s="1"/>
      <c r="N16" s="1"/>
      <c r="O16" s="1"/>
      <c r="P16" s="1"/>
      <c r="Q16" s="1"/>
      <c r="R16" s="1"/>
      <c r="S16" s="2" t="s">
        <v>183</v>
      </c>
      <c r="T16" s="2" t="s">
        <v>184</v>
      </c>
      <c r="U16" s="2" t="s">
        <v>185</v>
      </c>
      <c r="V16" s="2" t="s">
        <v>186</v>
      </c>
      <c r="W16" s="2" t="s">
        <v>187</v>
      </c>
      <c r="X16" s="2" t="s">
        <v>188</v>
      </c>
      <c r="Y16" s="354" t="s">
        <v>189</v>
      </c>
      <c r="Z16" s="354" t="s">
        <v>190</v>
      </c>
      <c r="AA16" s="354" t="s">
        <v>191</v>
      </c>
      <c r="AB16" s="356"/>
      <c r="AC16" s="356"/>
      <c r="AD16" s="356"/>
      <c r="AE16" s="356"/>
      <c r="AF16" s="356"/>
      <c r="AG16" s="356"/>
      <c r="AH16" s="356"/>
      <c r="AI16" s="356"/>
      <c r="AJ16" s="356"/>
      <c r="AK16" s="356"/>
      <c r="AL16" s="356"/>
    </row>
    <row r="17" spans="1:38" ht="12.95" customHeight="1" x14ac:dyDescent="0.2">
      <c r="A17" s="175">
        <v>110</v>
      </c>
      <c r="B17" s="5" t="s">
        <v>192</v>
      </c>
      <c r="S17" s="2"/>
      <c r="T17" s="2"/>
      <c r="U17" s="2"/>
    </row>
    <row r="18" spans="1:38" ht="12.95" customHeight="1" x14ac:dyDescent="0.2">
      <c r="A18" s="184" t="s">
        <v>122</v>
      </c>
      <c r="C18" s="31" t="s">
        <v>193</v>
      </c>
      <c r="D18" s="6">
        <f>SUM(E3_Consommateurs!D18:XFD18)</f>
        <v>2353</v>
      </c>
      <c r="E18" s="1" t="s">
        <v>194</v>
      </c>
      <c r="O18" s="123"/>
      <c r="Q18" s="123"/>
      <c r="S18" s="354">
        <v>10</v>
      </c>
      <c r="T18" s="2">
        <v>9999999999</v>
      </c>
      <c r="U18" s="2">
        <f>IF($D18&lt;S18,1,0)</f>
        <v>0</v>
      </c>
      <c r="V18" s="2">
        <f>IF($D18&gt;T18,1,0)</f>
        <v>0</v>
      </c>
      <c r="X18" s="2" t="str">
        <f>IF(U18=1,Y18,IF(V18=1,Z18,IF(W18=1,AA18,"")))</f>
        <v/>
      </c>
      <c r="Y18" s="354" t="s">
        <v>473</v>
      </c>
      <c r="Z18" s="354" t="s">
        <v>931</v>
      </c>
    </row>
    <row r="19" spans="1:38" ht="12.95" customHeight="1" x14ac:dyDescent="0.2">
      <c r="A19" s="184" t="s">
        <v>123</v>
      </c>
      <c r="C19" s="31" t="s">
        <v>195</v>
      </c>
      <c r="D19" s="241">
        <v>10</v>
      </c>
      <c r="E19" s="1" t="s">
        <v>165</v>
      </c>
      <c r="K19" s="171">
        <v>10</v>
      </c>
      <c r="O19" s="123"/>
      <c r="Q19" s="123"/>
      <c r="S19" s="2">
        <v>4</v>
      </c>
      <c r="T19" s="2">
        <v>20</v>
      </c>
      <c r="U19" s="2">
        <f>IF($D19&lt;S19,1,0)</f>
        <v>0</v>
      </c>
      <c r="V19" s="2">
        <f>IF($D19&gt;T19,1,0)</f>
        <v>0</v>
      </c>
      <c r="W19" s="2">
        <f>IF(D19="",1,0)</f>
        <v>0</v>
      </c>
      <c r="X19" s="2" t="str">
        <f>IF(U19&gt;0,Y19,"")&amp;IF(V19&gt;0,Z19,"")&amp;IF(W19&gt;0,AA19,"")</f>
        <v/>
      </c>
      <c r="Y19" s="354" t="s">
        <v>474</v>
      </c>
      <c r="Z19" s="354" t="s">
        <v>475</v>
      </c>
      <c r="AA19" s="354" t="s">
        <v>196</v>
      </c>
    </row>
    <row r="20" spans="1:38" ht="12.95" customHeight="1" x14ac:dyDescent="0.2">
      <c r="A20" s="178" t="s">
        <v>124</v>
      </c>
      <c r="C20" s="31" t="s">
        <v>197</v>
      </c>
      <c r="D20" s="218">
        <v>1</v>
      </c>
      <c r="E20" s="1" t="s">
        <v>165</v>
      </c>
      <c r="O20" s="123"/>
      <c r="Q20" s="123"/>
      <c r="S20" s="2">
        <v>0</v>
      </c>
      <c r="T20" s="2">
        <v>5</v>
      </c>
      <c r="U20" s="2">
        <f>IF($D20&lt;S20,1,0)</f>
        <v>0</v>
      </c>
      <c r="V20" s="2">
        <f>IF($D20&gt;T20,1,0)</f>
        <v>0</v>
      </c>
      <c r="W20" s="2">
        <f>IF(D20="",1,0)</f>
        <v>0</v>
      </c>
      <c r="X20" s="2" t="str">
        <f>IF(U20&gt;0,Y20,"")&amp;IF(V20&gt;0,Z20,"")&amp;IF(W20&gt;0,AA20,"")</f>
        <v/>
      </c>
      <c r="Y20" s="354" t="s">
        <v>798</v>
      </c>
      <c r="Z20" s="354" t="s">
        <v>198</v>
      </c>
      <c r="AA20" s="354" t="s">
        <v>199</v>
      </c>
    </row>
    <row r="21" spans="1:38" ht="12.95" customHeight="1" x14ac:dyDescent="0.2">
      <c r="A21" s="176"/>
      <c r="S21" s="2"/>
      <c r="T21" s="2"/>
      <c r="U21" s="2"/>
    </row>
    <row r="22" spans="1:38" ht="12.95" customHeight="1" x14ac:dyDescent="0.2">
      <c r="A22" s="184" t="s">
        <v>200</v>
      </c>
      <c r="C22" s="31" t="s">
        <v>201</v>
      </c>
      <c r="D22" s="219">
        <v>2024</v>
      </c>
      <c r="O22" s="123"/>
      <c r="Q22" s="123"/>
      <c r="S22" s="2">
        <v>2000</v>
      </c>
      <c r="T22" s="2">
        <v>2100</v>
      </c>
      <c r="U22" s="2">
        <f>IF($D22&lt;S22,1,0)</f>
        <v>0</v>
      </c>
      <c r="V22" s="2">
        <f>IF($D22&gt;T22,1,0)</f>
        <v>0</v>
      </c>
      <c r="X22" s="2" t="str">
        <f>IF(U22&gt;0,Y22,"")&amp;IF(V22&gt;0,Z22,"")&amp;IF(W22&gt;0,AA22,"")</f>
        <v/>
      </c>
      <c r="Y22" s="354" t="s">
        <v>202</v>
      </c>
      <c r="Z22" s="354" t="s">
        <v>203</v>
      </c>
    </row>
    <row r="23" spans="1:38" ht="12.95" customHeight="1" x14ac:dyDescent="0.2">
      <c r="A23" s="184" t="s">
        <v>204</v>
      </c>
      <c r="C23" s="31" t="s">
        <v>205</v>
      </c>
      <c r="D23" s="154">
        <f>MIN(E3_Consommateurs!D21:XFD21)</f>
        <v>2025</v>
      </c>
      <c r="K23" s="173">
        <f>MIN(E3_Consommateurs!D21:XFD21)</f>
        <v>2025</v>
      </c>
      <c r="O23" s="123"/>
      <c r="Q23" s="123"/>
      <c r="S23" s="2">
        <f>Eing_Beginnjahr</f>
        <v>2024</v>
      </c>
      <c r="T23" s="2">
        <f>S23+3</f>
        <v>2027</v>
      </c>
      <c r="U23" s="2">
        <f>IF($D23&lt;S23,D23,0)</f>
        <v>0</v>
      </c>
      <c r="V23" s="2">
        <f>IF($D23&gt;T23,1,0)</f>
        <v>0</v>
      </c>
      <c r="X23" s="2" t="str">
        <f>IF(U23&gt;0,Y23,"")&amp;IF(V23&gt;0,Z23,"")&amp;IF(W23&gt;0,AA23,"")</f>
        <v/>
      </c>
      <c r="Y23" s="354" t="s">
        <v>206</v>
      </c>
      <c r="Z23" s="354" t="s">
        <v>207</v>
      </c>
    </row>
    <row r="24" spans="1:38" ht="12.95" customHeight="1" x14ac:dyDescent="0.2">
      <c r="A24" s="176"/>
      <c r="C24" s="31"/>
      <c r="D24" s="34"/>
      <c r="S24" s="2"/>
      <c r="T24" s="2"/>
      <c r="U24" s="2"/>
    </row>
    <row r="25" spans="1:38" ht="12.95" customHeight="1" x14ac:dyDescent="0.2">
      <c r="A25" s="184">
        <v>115</v>
      </c>
      <c r="B25" s="5" t="s">
        <v>608</v>
      </c>
      <c r="D25" s="4"/>
      <c r="S25" s="2"/>
      <c r="T25" s="2"/>
      <c r="U25" s="2"/>
    </row>
    <row r="26" spans="1:38" ht="12.95" customHeight="1" x14ac:dyDescent="0.2">
      <c r="A26" s="184" t="s">
        <v>122</v>
      </c>
      <c r="C26" s="31" t="s">
        <v>609</v>
      </c>
      <c r="D26" s="220">
        <v>73</v>
      </c>
      <c r="E26" s="1" t="s">
        <v>165</v>
      </c>
      <c r="O26" s="123"/>
      <c r="Q26" s="123"/>
      <c r="S26" s="2">
        <v>70</v>
      </c>
      <c r="T26" s="2">
        <v>100</v>
      </c>
      <c r="U26" s="2">
        <f t="shared" ref="U26:U27" si="0">IF($D26&lt;S26,1,0)</f>
        <v>0</v>
      </c>
      <c r="V26" s="2">
        <f t="shared" ref="V26:V31" si="1">IF($D26&gt;T26,1,0)</f>
        <v>0</v>
      </c>
      <c r="X26" s="2" t="str">
        <f t="shared" ref="X26:X31" si="2">IF(U26&gt;0,Y26,"")&amp;IF(V26&gt;0,Z26,"")&amp;IF(W26&gt;0,AA26,"")</f>
        <v/>
      </c>
      <c r="Y26" s="354" t="s">
        <v>814</v>
      </c>
      <c r="Z26" s="354" t="s">
        <v>799</v>
      </c>
    </row>
    <row r="27" spans="1:38" s="157" customFormat="1" ht="13.35" customHeight="1" x14ac:dyDescent="0.2">
      <c r="A27" s="184" t="s">
        <v>123</v>
      </c>
      <c r="C27" s="31" t="s">
        <v>612</v>
      </c>
      <c r="D27" s="220">
        <v>7</v>
      </c>
      <c r="E27" s="1" t="s">
        <v>165</v>
      </c>
      <c r="O27" s="159"/>
      <c r="Q27" s="159"/>
      <c r="S27" s="2">
        <v>0</v>
      </c>
      <c r="T27" s="2">
        <f>0.2*Eing_Anteil_Biomasse</f>
        <v>14.600000000000001</v>
      </c>
      <c r="U27" s="2">
        <f t="shared" si="0"/>
        <v>0</v>
      </c>
      <c r="V27" s="2">
        <f t="shared" si="1"/>
        <v>0</v>
      </c>
      <c r="W27" s="2"/>
      <c r="X27" s="2" t="str">
        <f t="shared" si="2"/>
        <v/>
      </c>
      <c r="Y27" s="354" t="s">
        <v>815</v>
      </c>
      <c r="Z27" s="354" t="s">
        <v>800</v>
      </c>
      <c r="AA27" s="354"/>
      <c r="AB27" s="354"/>
      <c r="AC27" s="354"/>
      <c r="AD27" s="354"/>
      <c r="AE27" s="354"/>
      <c r="AF27" s="354"/>
      <c r="AG27" s="354"/>
      <c r="AH27" s="354"/>
      <c r="AI27" s="354"/>
      <c r="AJ27" s="354"/>
      <c r="AK27" s="354"/>
      <c r="AL27" s="354"/>
    </row>
    <row r="28" spans="1:38" s="157" customFormat="1" ht="13.35" customHeight="1" x14ac:dyDescent="0.2">
      <c r="A28" s="184" t="s">
        <v>124</v>
      </c>
      <c r="C28" s="31" t="s">
        <v>611</v>
      </c>
      <c r="D28" s="220"/>
      <c r="E28" s="1" t="s">
        <v>165</v>
      </c>
      <c r="O28" s="159"/>
      <c r="Q28" s="159"/>
      <c r="S28" s="2">
        <v>10</v>
      </c>
      <c r="T28" s="2">
        <v>100</v>
      </c>
      <c r="U28" s="2">
        <f>IF(AND($D28&gt;0,$D28&lt;S28),1,0)</f>
        <v>0</v>
      </c>
      <c r="V28" s="2">
        <f t="shared" si="1"/>
        <v>0</v>
      </c>
      <c r="W28" s="2"/>
      <c r="X28" s="2" t="str">
        <f t="shared" si="2"/>
        <v/>
      </c>
      <c r="Y28" s="354" t="s">
        <v>816</v>
      </c>
      <c r="Z28" s="354" t="s">
        <v>801</v>
      </c>
      <c r="AA28" s="354"/>
      <c r="AB28" s="354"/>
      <c r="AC28" s="354"/>
      <c r="AD28" s="354"/>
      <c r="AE28" s="354"/>
      <c r="AF28" s="354"/>
      <c r="AG28" s="354"/>
      <c r="AH28" s="354"/>
      <c r="AI28" s="354"/>
      <c r="AJ28" s="354"/>
      <c r="AK28" s="354"/>
      <c r="AL28" s="354"/>
    </row>
    <row r="29" spans="1:38" s="157" customFormat="1" ht="13.35" customHeight="1" x14ac:dyDescent="0.2">
      <c r="A29" s="184" t="s">
        <v>208</v>
      </c>
      <c r="C29" s="31" t="s">
        <v>613</v>
      </c>
      <c r="D29" s="220">
        <v>20</v>
      </c>
      <c r="E29" s="1" t="s">
        <v>165</v>
      </c>
      <c r="O29" s="159"/>
      <c r="Q29" s="159"/>
      <c r="S29" s="2">
        <v>5</v>
      </c>
      <c r="T29" s="2">
        <v>100</v>
      </c>
      <c r="U29" s="2">
        <f t="shared" ref="U29:U31" si="3">IF(AND($D29&gt;0,$D29&lt;S29),1,0)</f>
        <v>0</v>
      </c>
      <c r="V29" s="2">
        <f t="shared" si="1"/>
        <v>0</v>
      </c>
      <c r="W29" s="2"/>
      <c r="X29" s="2" t="str">
        <f t="shared" si="2"/>
        <v/>
      </c>
      <c r="Y29" s="354" t="s">
        <v>817</v>
      </c>
      <c r="Z29" s="354" t="s">
        <v>802</v>
      </c>
      <c r="AA29" s="354"/>
      <c r="AB29" s="354"/>
      <c r="AC29" s="354"/>
      <c r="AD29" s="354"/>
      <c r="AE29" s="354"/>
      <c r="AF29" s="354"/>
      <c r="AG29" s="354"/>
      <c r="AH29" s="354"/>
      <c r="AI29" s="354"/>
      <c r="AJ29" s="354"/>
      <c r="AK29" s="354"/>
      <c r="AL29" s="354"/>
    </row>
    <row r="30" spans="1:38" s="157" customFormat="1" ht="13.35" customHeight="1" x14ac:dyDescent="0.2">
      <c r="A30" s="184" t="s">
        <v>178</v>
      </c>
      <c r="C30" s="31" t="s">
        <v>614</v>
      </c>
      <c r="D30" s="220"/>
      <c r="E30" s="1" t="s">
        <v>165</v>
      </c>
      <c r="O30" s="159"/>
      <c r="Q30" s="159"/>
      <c r="S30" s="2">
        <v>10</v>
      </c>
      <c r="T30" s="2">
        <v>100</v>
      </c>
      <c r="U30" s="2">
        <f t="shared" si="3"/>
        <v>0</v>
      </c>
      <c r="V30" s="2">
        <f t="shared" si="1"/>
        <v>0</v>
      </c>
      <c r="W30" s="2"/>
      <c r="X30" s="2" t="str">
        <f t="shared" si="2"/>
        <v/>
      </c>
      <c r="Y30" s="354" t="s">
        <v>818</v>
      </c>
      <c r="Z30" s="354" t="s">
        <v>803</v>
      </c>
      <c r="AA30" s="354"/>
      <c r="AB30" s="354"/>
      <c r="AC30" s="354"/>
      <c r="AD30" s="354"/>
      <c r="AE30" s="354"/>
      <c r="AF30" s="354"/>
      <c r="AG30" s="354"/>
      <c r="AH30" s="354"/>
      <c r="AI30" s="354"/>
      <c r="AJ30" s="354"/>
      <c r="AK30" s="354"/>
      <c r="AL30" s="354"/>
    </row>
    <row r="31" spans="1:38" s="157" customFormat="1" ht="13.35" customHeight="1" x14ac:dyDescent="0.2">
      <c r="A31" s="184" t="s">
        <v>209</v>
      </c>
      <c r="C31" s="31" t="s">
        <v>615</v>
      </c>
      <c r="D31" s="220"/>
      <c r="E31" s="1" t="s">
        <v>165</v>
      </c>
      <c r="O31" s="159"/>
      <c r="Q31" s="159"/>
      <c r="S31" s="2">
        <v>5</v>
      </c>
      <c r="T31" s="2">
        <v>100</v>
      </c>
      <c r="U31" s="2">
        <f t="shared" si="3"/>
        <v>0</v>
      </c>
      <c r="V31" s="2">
        <f t="shared" si="1"/>
        <v>0</v>
      </c>
      <c r="W31" s="2"/>
      <c r="X31" s="2" t="str">
        <f t="shared" si="2"/>
        <v/>
      </c>
      <c r="Y31" s="354" t="s">
        <v>819</v>
      </c>
      <c r="Z31" s="354" t="s">
        <v>806</v>
      </c>
      <c r="AA31" s="354"/>
      <c r="AB31" s="354"/>
      <c r="AC31" s="354"/>
      <c r="AD31" s="354"/>
      <c r="AE31" s="354"/>
      <c r="AF31" s="354"/>
      <c r="AG31" s="354"/>
      <c r="AH31" s="354"/>
      <c r="AI31" s="354"/>
      <c r="AJ31" s="354"/>
      <c r="AK31" s="354"/>
      <c r="AL31" s="354"/>
    </row>
    <row r="32" spans="1:38" ht="12.95" customHeight="1" x14ac:dyDescent="0.2">
      <c r="A32" s="184" t="s">
        <v>200</v>
      </c>
      <c r="C32" s="31" t="s">
        <v>210</v>
      </c>
      <c r="D32" s="207">
        <f>100-SUM(D26:D31)</f>
        <v>0</v>
      </c>
      <c r="E32" s="1" t="s">
        <v>165</v>
      </c>
      <c r="O32" s="123"/>
      <c r="Q32" s="123"/>
      <c r="S32" s="2"/>
      <c r="T32" s="2"/>
      <c r="U32" s="2"/>
    </row>
    <row r="33" spans="1:38" s="157" customFormat="1" ht="13.35" customHeight="1" x14ac:dyDescent="0.2">
      <c r="A33" s="184" t="s">
        <v>211</v>
      </c>
      <c r="C33" s="31" t="s">
        <v>616</v>
      </c>
      <c r="D33" s="220"/>
      <c r="E33" s="1" t="s">
        <v>165</v>
      </c>
      <c r="O33" s="159"/>
      <c r="Q33" s="159"/>
      <c r="S33" s="2">
        <v>30</v>
      </c>
      <c r="T33" s="2">
        <v>100</v>
      </c>
      <c r="U33" s="2">
        <f>IF(Eing_Anteil_WKK=0,0,IF($D33&lt;S33,1,0))</f>
        <v>0</v>
      </c>
      <c r="V33" s="2">
        <f>IF(Eing_Anteil_WKK=0,0,IF($D33&gt;T33,1,0))</f>
        <v>0</v>
      </c>
      <c r="W33" s="2"/>
      <c r="X33" s="2" t="str">
        <f t="shared" ref="X33:X36" si="4">IF(U33&gt;0,Y33,"")&amp;IF(V33&gt;0,Z33,"")&amp;IF(W33&gt;0,AA33,"")</f>
        <v/>
      </c>
      <c r="Y33" s="354" t="s">
        <v>820</v>
      </c>
      <c r="Z33" s="354" t="s">
        <v>821</v>
      </c>
      <c r="AA33" s="354"/>
      <c r="AB33" s="354"/>
      <c r="AC33" s="354"/>
      <c r="AD33" s="354"/>
      <c r="AE33" s="354"/>
      <c r="AF33" s="354"/>
      <c r="AG33" s="354"/>
      <c r="AH33" s="354"/>
      <c r="AI33" s="354"/>
      <c r="AJ33" s="354"/>
      <c r="AK33" s="354"/>
      <c r="AL33" s="354"/>
    </row>
    <row r="34" spans="1:38" s="157" customFormat="1" ht="13.35" customHeight="1" x14ac:dyDescent="0.2">
      <c r="A34" s="184" t="s">
        <v>212</v>
      </c>
      <c r="C34" s="31" t="s">
        <v>617</v>
      </c>
      <c r="D34" s="220"/>
      <c r="E34" s="1" t="s">
        <v>165</v>
      </c>
      <c r="O34" s="159"/>
      <c r="Q34" s="159"/>
      <c r="S34" s="2">
        <v>10</v>
      </c>
      <c r="T34" s="2">
        <v>50</v>
      </c>
      <c r="U34" s="2">
        <f>IF(Eing_Anteil_WKK=0,0,IF($D34&lt;S34,1,0))</f>
        <v>0</v>
      </c>
      <c r="V34" s="2">
        <f>IF(Eing_Anteil_WKK=0,0,IF($D34&gt;T34,1,0))</f>
        <v>0</v>
      </c>
      <c r="W34" s="2"/>
      <c r="X34" s="2" t="str">
        <f t="shared" si="4"/>
        <v/>
      </c>
      <c r="Y34" s="354" t="s">
        <v>822</v>
      </c>
      <c r="Z34" s="354" t="s">
        <v>823</v>
      </c>
      <c r="AA34" s="354"/>
      <c r="AB34" s="354"/>
      <c r="AC34" s="354"/>
      <c r="AD34" s="354"/>
      <c r="AE34" s="354"/>
      <c r="AF34" s="354"/>
      <c r="AG34" s="354"/>
      <c r="AH34" s="354"/>
      <c r="AI34" s="354"/>
      <c r="AJ34" s="354"/>
      <c r="AK34" s="354"/>
      <c r="AL34" s="354"/>
    </row>
    <row r="35" spans="1:38" s="157" customFormat="1" ht="13.35" customHeight="1" x14ac:dyDescent="0.2">
      <c r="A35" s="184" t="s">
        <v>213</v>
      </c>
      <c r="C35" s="31" t="s">
        <v>618</v>
      </c>
      <c r="D35" s="220"/>
      <c r="E35" s="1" t="s">
        <v>165</v>
      </c>
      <c r="O35" s="159"/>
      <c r="Q35" s="159"/>
      <c r="S35" s="2">
        <v>40</v>
      </c>
      <c r="T35" s="2">
        <v>90</v>
      </c>
      <c r="U35" s="2">
        <f>IF(Eing_Anteil_WP=0,0,IF($D35&lt;S35,1,0))</f>
        <v>1</v>
      </c>
      <c r="V35" s="2">
        <f>IF(Eing_Anteil_WP=0,0,IF($D35&gt;T35,1,0))</f>
        <v>0</v>
      </c>
      <c r="W35" s="2"/>
      <c r="X35" s="2" t="str">
        <f t="shared" ref="X35" si="5">IF(U35&gt;0,Y35,"")&amp;IF(V35&gt;0,Z35,"")&amp;IF(W35&gt;0,AA35,"")</f>
        <v>115n: Le rendement thermique annuel du producteur supplémentaire de chaleur est supposé très faible</v>
      </c>
      <c r="Y35" s="354" t="s">
        <v>824</v>
      </c>
      <c r="Z35" s="354" t="s">
        <v>825</v>
      </c>
      <c r="AA35" s="354"/>
      <c r="AB35" s="354"/>
      <c r="AC35" s="354"/>
      <c r="AD35" s="354"/>
      <c r="AE35" s="354"/>
      <c r="AF35" s="354"/>
      <c r="AG35" s="354"/>
      <c r="AH35" s="354"/>
      <c r="AI35" s="354"/>
      <c r="AJ35" s="354"/>
      <c r="AK35" s="354"/>
      <c r="AL35" s="354"/>
    </row>
    <row r="36" spans="1:38" s="157" customFormat="1" ht="13.35" customHeight="1" x14ac:dyDescent="0.2">
      <c r="A36" s="184" t="s">
        <v>214</v>
      </c>
      <c r="C36" s="31" t="s">
        <v>619</v>
      </c>
      <c r="D36" s="220">
        <v>3.8</v>
      </c>
      <c r="E36" s="240" t="s">
        <v>215</v>
      </c>
      <c r="O36" s="159"/>
      <c r="Q36" s="159"/>
      <c r="S36" s="2">
        <v>1</v>
      </c>
      <c r="T36" s="2">
        <v>10</v>
      </c>
      <c r="U36" s="2">
        <f>IF(Eing_Anteil_WP=0,0,IF($D36&lt;S36,1,0))</f>
        <v>0</v>
      </c>
      <c r="V36" s="2">
        <f>IF(Eing_Anteil_WP=0,0,IF($D36&gt;T36,1,0))</f>
        <v>0</v>
      </c>
      <c r="W36" s="2"/>
      <c r="X36" s="2" t="str">
        <f t="shared" si="4"/>
        <v/>
      </c>
      <c r="Y36" s="354" t="s">
        <v>826</v>
      </c>
      <c r="Z36" s="354" t="s">
        <v>827</v>
      </c>
      <c r="AA36" s="354"/>
      <c r="AB36" s="354"/>
      <c r="AC36" s="354"/>
      <c r="AD36" s="354"/>
      <c r="AE36" s="354"/>
      <c r="AF36" s="354"/>
      <c r="AG36" s="354"/>
      <c r="AH36" s="354"/>
      <c r="AI36" s="354"/>
      <c r="AJ36" s="354"/>
      <c r="AK36" s="354"/>
      <c r="AL36" s="354"/>
    </row>
    <row r="37" spans="1:38" ht="12.95" customHeight="1" x14ac:dyDescent="0.2">
      <c r="A37" s="178" t="s">
        <v>216</v>
      </c>
      <c r="C37" s="31" t="s">
        <v>948</v>
      </c>
      <c r="D37" s="220"/>
      <c r="E37" s="1" t="s">
        <v>165</v>
      </c>
      <c r="O37" s="123"/>
      <c r="Q37" s="123"/>
      <c r="S37" s="2">
        <v>40</v>
      </c>
      <c r="T37" s="2">
        <v>98</v>
      </c>
      <c r="U37" s="2">
        <f>IF(Anteil_fossil_erzeugt=0,0,IF($D37&lt;S37,1,0))</f>
        <v>0</v>
      </c>
      <c r="V37" s="2">
        <f>IF(Anteil_fossil_erzeugt=0,0,IF($D37&gt;T37,1,0))</f>
        <v>0</v>
      </c>
      <c r="W37" s="2">
        <f>IF(Anteil_fossil_erzeugt=0,0,IF(D37="",1,0))</f>
        <v>0</v>
      </c>
      <c r="X37" s="2" t="str">
        <f>IF(U37&gt;0,Y37,"")&amp;IF(V37&gt;0,Z37,"")&amp;IF(W37&gt;0,AA37,"")</f>
        <v/>
      </c>
      <c r="Y37" s="354" t="s">
        <v>938</v>
      </c>
      <c r="Z37" s="354" t="s">
        <v>939</v>
      </c>
    </row>
    <row r="38" spans="1:38" s="157" customFormat="1" ht="13.35" customHeight="1" x14ac:dyDescent="0.2">
      <c r="A38" s="184" t="s">
        <v>217</v>
      </c>
      <c r="C38" s="31" t="s">
        <v>912</v>
      </c>
      <c r="D38" s="220"/>
      <c r="E38" s="1" t="s">
        <v>165</v>
      </c>
      <c r="O38" s="159"/>
      <c r="Q38" s="159"/>
      <c r="S38" s="2">
        <v>0</v>
      </c>
      <c r="T38" s="2">
        <v>100</v>
      </c>
      <c r="U38" s="2">
        <f>IF($D38&lt;S38,1,0)</f>
        <v>0</v>
      </c>
      <c r="V38" s="2">
        <f>IF($D38&gt;T38,1,0)</f>
        <v>0</v>
      </c>
      <c r="W38" s="2"/>
      <c r="X38" s="2" t="str">
        <f t="shared" ref="X38" si="6">IF(U38&gt;0,Y38,"")&amp;IF(V38&gt;0,Z38,"")&amp;IF(W38&gt;0,AA38,"")</f>
        <v/>
      </c>
      <c r="Y38" s="354" t="s">
        <v>828</v>
      </c>
      <c r="Z38" s="354" t="s">
        <v>829</v>
      </c>
      <c r="AA38" s="354"/>
      <c r="AB38" s="354"/>
      <c r="AC38" s="354"/>
      <c r="AD38" s="354"/>
      <c r="AE38" s="354"/>
      <c r="AF38" s="354"/>
      <c r="AG38" s="354"/>
      <c r="AH38" s="354"/>
      <c r="AI38" s="354"/>
      <c r="AJ38" s="354"/>
      <c r="AK38" s="354"/>
      <c r="AL38" s="354"/>
    </row>
    <row r="39" spans="1:38" ht="12.95" customHeight="1" x14ac:dyDescent="0.2">
      <c r="A39" s="184" t="s">
        <v>218</v>
      </c>
      <c r="C39" s="31" t="s">
        <v>219</v>
      </c>
      <c r="D39" s="155">
        <v>2</v>
      </c>
      <c r="E39" s="1" t="s">
        <v>220</v>
      </c>
      <c r="K39" s="243">
        <v>2</v>
      </c>
      <c r="O39" s="123"/>
      <c r="Q39" s="123"/>
      <c r="S39" s="2">
        <v>1</v>
      </c>
      <c r="T39" s="2">
        <v>3</v>
      </c>
      <c r="U39" s="2">
        <f>IF($D39&lt;S39,1,0)</f>
        <v>0</v>
      </c>
      <c r="V39" s="2">
        <f>IF($D39&gt;T39,1,0)</f>
        <v>0</v>
      </c>
      <c r="W39" s="2">
        <f>IF(Eing_Spez_Stromverbrauch=0,1,0)</f>
        <v>0</v>
      </c>
      <c r="X39" s="2" t="str">
        <f>IF(U39&gt;0,Y39,"")&amp;IF(V39&gt;0,Z39,"")&amp;IF(W39&gt;0,AA39,"")</f>
        <v/>
      </c>
      <c r="Y39" s="354" t="s">
        <v>221</v>
      </c>
      <c r="Z39" s="354" t="s">
        <v>222</v>
      </c>
      <c r="AA39" s="354" t="s">
        <v>223</v>
      </c>
    </row>
    <row r="40" spans="1:38" s="157" customFormat="1" ht="13.35" customHeight="1" x14ac:dyDescent="0.2">
      <c r="A40" s="184" t="s">
        <v>224</v>
      </c>
      <c r="C40" s="31" t="s">
        <v>916</v>
      </c>
      <c r="D40" s="220"/>
      <c r="E40" s="1" t="s">
        <v>165</v>
      </c>
      <c r="O40" s="159"/>
      <c r="Q40" s="159"/>
      <c r="S40" s="2">
        <v>0</v>
      </c>
      <c r="T40" s="2">
        <v>100</v>
      </c>
      <c r="U40" s="2">
        <f>IF(0&lt;$D40&lt;S40,1,0)</f>
        <v>0</v>
      </c>
      <c r="V40" s="2">
        <f>IF($D40&gt;T40,1,0)</f>
        <v>0</v>
      </c>
      <c r="W40" s="2"/>
      <c r="X40" s="2" t="str">
        <f t="shared" ref="X40:X41" si="7">IF(U40&gt;0,Y40,"")&amp;IF(V40&gt;0,Z40,"")&amp;IF(W40&gt;0,AA40,"")</f>
        <v/>
      </c>
      <c r="Y40" s="354" t="s">
        <v>808</v>
      </c>
      <c r="Z40" s="354" t="s">
        <v>809</v>
      </c>
      <c r="AA40" s="354"/>
      <c r="AB40" s="354"/>
      <c r="AC40" s="354"/>
      <c r="AD40" s="354"/>
      <c r="AE40" s="354"/>
      <c r="AF40" s="354"/>
      <c r="AG40" s="354"/>
      <c r="AH40" s="354"/>
      <c r="AI40" s="354"/>
      <c r="AJ40" s="354"/>
      <c r="AK40" s="354"/>
      <c r="AL40" s="354"/>
    </row>
    <row r="41" spans="1:38" s="157" customFormat="1" ht="13.35" customHeight="1" x14ac:dyDescent="0.2">
      <c r="A41" s="184" t="s">
        <v>225</v>
      </c>
      <c r="C41" s="31" t="s">
        <v>620</v>
      </c>
      <c r="D41" s="221"/>
      <c r="E41" s="296" t="s">
        <v>331</v>
      </c>
      <c r="O41" s="159"/>
      <c r="Q41" s="159"/>
      <c r="S41" s="2">
        <v>0</v>
      </c>
      <c r="T41" s="2">
        <f>5*max_verkaufteWM*Eing_Anteil_WKK*1000</f>
        <v>0</v>
      </c>
      <c r="U41" s="2">
        <f>IF(0&lt;$D41&lt;S41,1,0)</f>
        <v>0</v>
      </c>
      <c r="V41" s="2">
        <f>IF($D41&gt;T41,1,0)</f>
        <v>0</v>
      </c>
      <c r="W41" s="2"/>
      <c r="X41" s="2" t="str">
        <f t="shared" si="7"/>
        <v/>
      </c>
      <c r="Y41" s="354" t="s">
        <v>810</v>
      </c>
      <c r="Z41" s="354" t="s">
        <v>811</v>
      </c>
      <c r="AA41" s="354"/>
      <c r="AB41" s="354"/>
      <c r="AC41" s="354"/>
      <c r="AD41" s="354"/>
      <c r="AE41" s="354"/>
      <c r="AF41" s="354"/>
      <c r="AG41" s="354" t="s">
        <v>331</v>
      </c>
      <c r="AH41" s="354" t="s">
        <v>235</v>
      </c>
      <c r="AI41" s="354"/>
      <c r="AJ41" s="354"/>
      <c r="AK41" s="354"/>
      <c r="AL41" s="354"/>
    </row>
    <row r="42" spans="1:38" ht="12.95" customHeight="1" x14ac:dyDescent="0.2">
      <c r="A42" s="176"/>
      <c r="D42" s="31"/>
      <c r="E42" s="31"/>
      <c r="S42" s="2"/>
      <c r="T42" s="2"/>
      <c r="U42" s="2"/>
      <c r="AG42" s="354" t="s">
        <v>922</v>
      </c>
      <c r="AH42" s="354" t="s">
        <v>921</v>
      </c>
    </row>
    <row r="43" spans="1:38" ht="12.95" customHeight="1" x14ac:dyDescent="0.2">
      <c r="A43" s="175">
        <v>120</v>
      </c>
      <c r="B43" s="5" t="s">
        <v>226</v>
      </c>
      <c r="D43" s="4"/>
      <c r="S43" s="2"/>
      <c r="T43" s="2"/>
      <c r="U43" s="2"/>
    </row>
    <row r="44" spans="1:38" ht="12.95" customHeight="1" x14ac:dyDescent="0.2">
      <c r="A44" s="184" t="s">
        <v>122</v>
      </c>
      <c r="C44" s="31" t="s">
        <v>227</v>
      </c>
      <c r="D44" s="218">
        <v>55</v>
      </c>
      <c r="E44" s="1" t="s">
        <v>228</v>
      </c>
      <c r="O44" s="123"/>
      <c r="Q44" s="123"/>
      <c r="S44" s="2">
        <v>0</v>
      </c>
      <c r="T44" s="2">
        <v>200</v>
      </c>
      <c r="U44" s="2">
        <f>IF($D44&lt;S44,1,0)</f>
        <v>0</v>
      </c>
      <c r="V44" s="2">
        <f>IF($D44&gt;T44,1,0)</f>
        <v>0</v>
      </c>
      <c r="X44" s="2" t="str">
        <f>IF(U44&gt;0,Y44,"")&amp;IF(V44&gt;0,Z44,"")&amp;IF(W44&gt;0,AA44,"")</f>
        <v/>
      </c>
      <c r="Y44" s="354" t="s">
        <v>812</v>
      </c>
      <c r="Z44" s="354" t="s">
        <v>830</v>
      </c>
    </row>
    <row r="45" spans="1:38" ht="12.95" customHeight="1" x14ac:dyDescent="0.2">
      <c r="A45" s="184" t="s">
        <v>124</v>
      </c>
      <c r="C45" s="31" t="s">
        <v>949</v>
      </c>
      <c r="D45" s="218"/>
      <c r="E45" s="1" t="s">
        <v>621</v>
      </c>
      <c r="O45" s="123"/>
      <c r="Q45" s="123"/>
      <c r="S45" s="2">
        <v>30</v>
      </c>
      <c r="T45" s="2">
        <v>200</v>
      </c>
      <c r="U45" s="2">
        <f>IF(Eing_Anteil_WKK=0,0,IF($D45&lt;S45,1,0))</f>
        <v>0</v>
      </c>
      <c r="V45" s="2">
        <f>IF(Eing_Anteil_WKK=0,0,IF($D45&gt;T45,1,0))</f>
        <v>0</v>
      </c>
      <c r="X45" s="2" t="str">
        <f t="shared" ref="X45" si="8">IF(U45&gt;0,Y45,"")&amp;IF(V45&gt;0,Z45,"")&amp;IF(W45&gt;0,AA45,"")</f>
        <v/>
      </c>
      <c r="Y45" s="354" t="s">
        <v>831</v>
      </c>
      <c r="Z45" s="354" t="s">
        <v>832</v>
      </c>
    </row>
    <row r="46" spans="1:38" ht="12.95" customHeight="1" x14ac:dyDescent="0.2">
      <c r="A46" s="184" t="s">
        <v>208</v>
      </c>
      <c r="C46" s="31" t="s">
        <v>622</v>
      </c>
      <c r="D46" s="218"/>
      <c r="E46" s="1" t="s">
        <v>621</v>
      </c>
      <c r="O46" s="123"/>
      <c r="Q46" s="123"/>
      <c r="S46" s="2">
        <v>30</v>
      </c>
      <c r="T46" s="2">
        <v>300</v>
      </c>
      <c r="U46" s="2">
        <f>IF(Eing_Anteil_WKK=0,0,IF($D46&lt;S46,1,0))</f>
        <v>0</v>
      </c>
      <c r="V46" s="2">
        <f>IF(Eing_Anteil_WKK=0,0,IF($D46&gt;T46,1,0))</f>
        <v>0</v>
      </c>
      <c r="X46" s="2" t="str">
        <f t="shared" ref="X46" si="9">IF(U46&gt;0,Y46,"")&amp;IF(V46&gt;0,Z46,"")&amp;IF(W46&gt;0,AA46,"")</f>
        <v/>
      </c>
      <c r="Y46" s="354" t="s">
        <v>833</v>
      </c>
      <c r="Z46" s="354" t="s">
        <v>834</v>
      </c>
    </row>
    <row r="47" spans="1:38" ht="12.95" customHeight="1" x14ac:dyDescent="0.2">
      <c r="A47" s="184" t="s">
        <v>178</v>
      </c>
      <c r="C47" s="31" t="s">
        <v>229</v>
      </c>
      <c r="D47" s="218"/>
      <c r="E47" s="1" t="s">
        <v>621</v>
      </c>
      <c r="O47" s="123"/>
      <c r="Q47" s="123"/>
      <c r="S47" s="2">
        <v>30</v>
      </c>
      <c r="T47" s="2">
        <v>300</v>
      </c>
      <c r="U47" s="2">
        <f>IF(Anteil_fossil_erzeugt=0,0,IF($D47&lt;S47,1,0))</f>
        <v>0</v>
      </c>
      <c r="V47" s="2">
        <f>IF(Anteil_fossil_erzeugt=0,0,IF($D47&gt;T47,1,0))</f>
        <v>0</v>
      </c>
      <c r="W47" s="2">
        <f>IF(Anteil_fossil_erzeugt=0,0,IF(Eing_Rohstoffpreis_fossil&lt;Eing_Rohstoffpreis_Biomasse,1,0))</f>
        <v>0</v>
      </c>
      <c r="X47" s="2" t="str">
        <f>IF(U47&gt;0,Y47,"")&amp;IF(V47&gt;0,Z47,"")&amp;IF(W47&gt;0,AA47,"")</f>
        <v/>
      </c>
      <c r="Y47" s="354" t="s">
        <v>932</v>
      </c>
      <c r="Z47" s="354" t="s">
        <v>835</v>
      </c>
      <c r="AA47" s="354" t="s">
        <v>813</v>
      </c>
    </row>
    <row r="48" spans="1:38" ht="12.95" customHeight="1" x14ac:dyDescent="0.2">
      <c r="A48" s="184" t="s">
        <v>209</v>
      </c>
      <c r="C48" s="31" t="s">
        <v>230</v>
      </c>
      <c r="D48" s="218">
        <v>25</v>
      </c>
      <c r="E48" s="1" t="s">
        <v>231</v>
      </c>
      <c r="O48" s="123"/>
      <c r="Q48" s="123"/>
      <c r="S48" s="2">
        <v>5</v>
      </c>
      <c r="T48" s="2">
        <v>80</v>
      </c>
      <c r="U48" s="2">
        <f>IF($D48&lt;S48,1,0)</f>
        <v>0</v>
      </c>
      <c r="V48" s="2">
        <f>IF($D48&gt;T48,1,0)</f>
        <v>0</v>
      </c>
      <c r="W48" s="2">
        <f>IF(Eing_Strompreis=0,1,0)</f>
        <v>0</v>
      </c>
      <c r="X48" s="2" t="str">
        <f>IF(U48&gt;0,Y48,"")&amp;IF(V48&gt;0,Z48,"")&amp;IF(W48&gt;0,AA48,"")</f>
        <v/>
      </c>
      <c r="Y48" s="354" t="s">
        <v>836</v>
      </c>
      <c r="Z48" s="354" t="s">
        <v>933</v>
      </c>
      <c r="AA48" s="354" t="s">
        <v>232</v>
      </c>
    </row>
    <row r="49" spans="1:38" s="157" customFormat="1" ht="13.35" customHeight="1" x14ac:dyDescent="0.2">
      <c r="A49" s="184" t="s">
        <v>200</v>
      </c>
      <c r="C49" s="31" t="s">
        <v>623</v>
      </c>
      <c r="D49" s="155">
        <f>Eing_Strompreis</f>
        <v>25</v>
      </c>
      <c r="E49" s="1" t="s">
        <v>231</v>
      </c>
      <c r="K49" s="243">
        <f>Eing_Strompreis</f>
        <v>25</v>
      </c>
      <c r="O49" s="123"/>
      <c r="Q49" s="123"/>
      <c r="R49" s="1"/>
      <c r="S49" s="2">
        <v>5</v>
      </c>
      <c r="T49" s="2">
        <v>80</v>
      </c>
      <c r="U49" s="2">
        <f>IF(Eing_Anteil_WP=0,0,IF(0&lt;$D49&lt;S49,1,0))</f>
        <v>0</v>
      </c>
      <c r="V49" s="2">
        <f>IF(Eing_Anteil_WP=0,0,IF(0&lt;$D49&gt;T49,1,0))</f>
        <v>1</v>
      </c>
      <c r="W49" s="2">
        <f>IF(Eing_Anteil_WP=0,0,IF(Eing_Strompreis_WP&gt;Eing_Strompreis,1,0))</f>
        <v>0</v>
      </c>
      <c r="X49" s="2" t="str">
        <f t="shared" ref="X49:X52" si="10">IF(U49&gt;0,Y49,"")&amp;IF(V49&gt;0,Z49,"")&amp;IF(W49&gt;0,AA49,"")</f>
        <v>12=g: Le prix d'achat de l'électricité de la PAC est supposé très élevé</v>
      </c>
      <c r="Y49" s="354" t="s">
        <v>838</v>
      </c>
      <c r="Z49" s="354" t="s">
        <v>839</v>
      </c>
      <c r="AA49" s="354" t="s">
        <v>840</v>
      </c>
      <c r="AB49" s="354"/>
      <c r="AC49" s="354"/>
      <c r="AD49" s="354"/>
      <c r="AE49" s="354"/>
      <c r="AF49" s="354"/>
      <c r="AG49" s="354"/>
      <c r="AH49" s="354"/>
      <c r="AI49" s="354"/>
      <c r="AJ49" s="354"/>
      <c r="AK49" s="354"/>
      <c r="AL49" s="354"/>
    </row>
    <row r="50" spans="1:38" s="157" customFormat="1" ht="13.35" customHeight="1" x14ac:dyDescent="0.2">
      <c r="A50" s="178" t="s">
        <v>233</v>
      </c>
      <c r="C50" s="31" t="s">
        <v>624</v>
      </c>
      <c r="D50" s="218"/>
      <c r="E50" s="1" t="s">
        <v>234</v>
      </c>
      <c r="O50" s="123"/>
      <c r="Q50" s="123"/>
      <c r="R50" s="1"/>
      <c r="S50" s="2">
        <v>0</v>
      </c>
      <c r="T50" s="2">
        <v>100</v>
      </c>
      <c r="U50" s="2">
        <f>IF(Eing_Anteil_AWN=0,0,IF(0&lt;$D50&lt;S50,1,0))</f>
        <v>0</v>
      </c>
      <c r="V50" s="2">
        <f>IF(Eing_Anteil_AWN=0,0,IF(0&lt;$D50&gt;T50,1,0))</f>
        <v>0</v>
      </c>
      <c r="W50" s="2"/>
      <c r="X50" s="2" t="str">
        <f t="shared" si="10"/>
        <v/>
      </c>
      <c r="Y50" s="354" t="s">
        <v>923</v>
      </c>
      <c r="Z50" s="354" t="s">
        <v>924</v>
      </c>
      <c r="AA50" s="354"/>
      <c r="AB50" s="354"/>
      <c r="AC50" s="354"/>
      <c r="AD50" s="354"/>
      <c r="AE50" s="354"/>
      <c r="AF50" s="354"/>
      <c r="AG50" s="354"/>
      <c r="AH50" s="354"/>
      <c r="AI50" s="354"/>
      <c r="AJ50" s="354"/>
      <c r="AK50" s="354"/>
      <c r="AL50" s="354"/>
    </row>
    <row r="51" spans="1:38" ht="12.95" customHeight="1" x14ac:dyDescent="0.2">
      <c r="A51" s="178" t="s">
        <v>212</v>
      </c>
      <c r="C51" s="31" t="s">
        <v>626</v>
      </c>
      <c r="D51" s="218"/>
      <c r="E51" s="1" t="s">
        <v>231</v>
      </c>
      <c r="O51" s="123"/>
      <c r="Q51" s="123"/>
      <c r="S51" s="2">
        <v>5</v>
      </c>
      <c r="T51" s="2">
        <v>80</v>
      </c>
      <c r="U51" s="2">
        <f>IF(AND($D51&gt;0,$D51&lt;S51),1,0)</f>
        <v>0</v>
      </c>
      <c r="V51" s="2">
        <f>IF($D51&gt;T51,1,0)</f>
        <v>0</v>
      </c>
      <c r="W51" s="2">
        <f>IF(Eing_Jahresnutzungsgrad_WKKel=0,0,IF($D51=0,1,0))</f>
        <v>0</v>
      </c>
      <c r="X51" s="2" t="str">
        <f t="shared" si="10"/>
        <v/>
      </c>
      <c r="Y51" s="354" t="s">
        <v>925</v>
      </c>
      <c r="Z51" s="354" t="s">
        <v>926</v>
      </c>
      <c r="AA51" s="354" t="s">
        <v>927</v>
      </c>
    </row>
    <row r="52" spans="1:38" ht="12.95" customHeight="1" x14ac:dyDescent="0.2">
      <c r="A52" s="178" t="s">
        <v>213</v>
      </c>
      <c r="C52" s="31" t="s">
        <v>627</v>
      </c>
      <c r="D52" s="218"/>
      <c r="E52" s="1" t="str">
        <f>_xlfn.XLOOKUP(E41,AG41:AG42,AH41:AH42)</f>
        <v>CHF/m³</v>
      </c>
      <c r="O52" s="123"/>
      <c r="Q52" s="123"/>
      <c r="S52" s="2">
        <v>200</v>
      </c>
      <c r="T52" s="2">
        <v>1000</v>
      </c>
      <c r="U52" s="2">
        <f>IF(Eing_Prod_Pflanzenkohle=0,0,IF($D52&lt;S52,1,0))</f>
        <v>0</v>
      </c>
      <c r="V52" s="2">
        <f>IF($D52&gt;T52,1,0)</f>
        <v>0</v>
      </c>
      <c r="W52" s="2">
        <f>IF(Eing_Prod_Pflanzenkohle=0,0,IF($D52&lt;S52,1,0))</f>
        <v>0</v>
      </c>
      <c r="X52" s="2" t="str">
        <f t="shared" si="10"/>
        <v/>
      </c>
      <c r="Y52" s="354" t="s">
        <v>928</v>
      </c>
      <c r="Z52" s="354" t="s">
        <v>929</v>
      </c>
      <c r="AA52" s="354" t="s">
        <v>930</v>
      </c>
    </row>
    <row r="53" spans="1:38" ht="12.95" customHeight="1" x14ac:dyDescent="0.2">
      <c r="A53" s="176"/>
      <c r="S53" s="2"/>
      <c r="T53" s="2"/>
      <c r="U53" s="2"/>
    </row>
    <row r="54" spans="1:38" ht="12.95" customHeight="1" x14ac:dyDescent="0.2">
      <c r="A54" s="184">
        <v>125</v>
      </c>
      <c r="B54" s="5" t="s">
        <v>628</v>
      </c>
      <c r="D54" s="4"/>
      <c r="S54" s="2"/>
      <c r="T54" s="2"/>
      <c r="U54" s="2"/>
    </row>
    <row r="55" spans="1:38" ht="12.95" customHeight="1" x14ac:dyDescent="0.2">
      <c r="A55" s="184" t="s">
        <v>122</v>
      </c>
      <c r="C55" s="31" t="s">
        <v>629</v>
      </c>
      <c r="D55" s="241">
        <f>ROUND(1.5%*SUM(D69:D76),-2)</f>
        <v>16700</v>
      </c>
      <c r="E55" s="1" t="s">
        <v>236</v>
      </c>
      <c r="K55" s="244">
        <f>ROUND(1.5%*SUM(D69:D76),-2)</f>
        <v>16700</v>
      </c>
      <c r="O55" s="123"/>
      <c r="Q55" s="123"/>
      <c r="S55" s="2">
        <v>1000</v>
      </c>
      <c r="T55" s="2">
        <f>5%*SUM(D69:D76)</f>
        <v>55500</v>
      </c>
      <c r="U55" s="2">
        <f t="shared" ref="U55:U57" si="11">IF($D55&lt;S55,1,0)</f>
        <v>0</v>
      </c>
      <c r="V55" s="2">
        <f t="shared" ref="V55:V57" si="12">IF($D55&gt;T55,1,0)</f>
        <v>0</v>
      </c>
      <c r="X55" s="2" t="str">
        <f>IF(U55&gt;0,Y55,"")&amp;IF(V55&gt;0,Z55,"")&amp;IF(W55&gt;0,AA55,"")</f>
        <v/>
      </c>
      <c r="Y55" s="354" t="s">
        <v>237</v>
      </c>
      <c r="Z55" s="354" t="s">
        <v>238</v>
      </c>
    </row>
    <row r="56" spans="1:38" ht="12.95" customHeight="1" x14ac:dyDescent="0.2">
      <c r="A56" s="184" t="s">
        <v>123</v>
      </c>
      <c r="C56" s="31" t="s">
        <v>630</v>
      </c>
      <c r="D56" s="221">
        <v>15000</v>
      </c>
      <c r="E56" s="1" t="s">
        <v>236</v>
      </c>
      <c r="O56" s="123"/>
      <c r="Q56" s="123"/>
      <c r="S56" s="2">
        <v>1000</v>
      </c>
      <c r="T56" s="2">
        <f>10%*SUM(D69:D75)</f>
        <v>79000</v>
      </c>
      <c r="U56" s="2">
        <f t="shared" si="11"/>
        <v>0</v>
      </c>
      <c r="V56" s="2">
        <f t="shared" si="12"/>
        <v>0</v>
      </c>
      <c r="X56" s="2" t="str">
        <f>IF(U56&gt;0,Y56,"")&amp;IF(V56&gt;0,Z56,"")&amp;IF(W56&gt;0,AA56,"")</f>
        <v/>
      </c>
      <c r="Y56" s="354" t="s">
        <v>841</v>
      </c>
      <c r="Z56" s="354" t="s">
        <v>842</v>
      </c>
    </row>
    <row r="57" spans="1:38" ht="12.95" customHeight="1" x14ac:dyDescent="0.2">
      <c r="A57" s="184" t="s">
        <v>124</v>
      </c>
      <c r="C57" s="31" t="s">
        <v>239</v>
      </c>
      <c r="D57" s="241">
        <f>SUMPRODUCT(D68:D80,F68:F80)/100</f>
        <v>45200</v>
      </c>
      <c r="E57" s="1" t="s">
        <v>236</v>
      </c>
      <c r="K57" s="244">
        <f>SUMPRODUCT(D68:D80,F68:F80)/100</f>
        <v>45200</v>
      </c>
      <c r="O57" s="123"/>
      <c r="Q57" s="123"/>
      <c r="S57" s="2">
        <v>1000</v>
      </c>
      <c r="T57" s="2">
        <f>10%*Gesamtinvestition</f>
        <v>306000</v>
      </c>
      <c r="U57" s="2">
        <f t="shared" si="11"/>
        <v>0</v>
      </c>
      <c r="V57" s="2">
        <f t="shared" si="12"/>
        <v>0</v>
      </c>
      <c r="X57" s="2" t="str">
        <f>IF(U57&gt;0,Y57,"")&amp;IF(V57&gt;0,Z57,"")&amp;IF(W57&gt;0,AA57,"")</f>
        <v/>
      </c>
      <c r="Y57" s="354" t="s">
        <v>843</v>
      </c>
      <c r="Z57" s="354" t="s">
        <v>844</v>
      </c>
    </row>
    <row r="58" spans="1:38" ht="12.95" customHeight="1" x14ac:dyDescent="0.2">
      <c r="A58" s="176"/>
      <c r="C58" s="31"/>
      <c r="D58" s="4"/>
      <c r="S58" s="2"/>
      <c r="T58" s="2"/>
      <c r="U58" s="2"/>
    </row>
    <row r="59" spans="1:38" ht="12.95" customHeight="1" x14ac:dyDescent="0.2">
      <c r="A59" s="184" t="s">
        <v>200</v>
      </c>
      <c r="C59" s="31" t="s">
        <v>240</v>
      </c>
      <c r="D59" s="221">
        <v>4000</v>
      </c>
      <c r="E59" s="1" t="s">
        <v>236</v>
      </c>
      <c r="O59" s="123"/>
      <c r="Q59" s="123"/>
      <c r="S59" s="2">
        <v>1000</v>
      </c>
      <c r="T59" s="2">
        <f>Gesamtinvestition/20</f>
        <v>153000</v>
      </c>
      <c r="U59" s="2">
        <f>IF($D59&lt;S59,1,0)</f>
        <v>0</v>
      </c>
      <c r="V59" s="2">
        <f>IF($D59&gt;T59,1,0)</f>
        <v>0</v>
      </c>
      <c r="X59" s="2" t="str">
        <f>IF(U59&gt;0,Y59,"")&amp;IF(V59&gt;0,Z59,"")&amp;IF(W59&gt;0,AA59,"")</f>
        <v/>
      </c>
      <c r="Y59" s="354" t="s">
        <v>934</v>
      </c>
      <c r="Z59" s="354" t="s">
        <v>241</v>
      </c>
    </row>
    <row r="60" spans="1:38" ht="12.95" customHeight="1" x14ac:dyDescent="0.2">
      <c r="A60" s="184" t="s">
        <v>204</v>
      </c>
      <c r="C60" s="31" t="s">
        <v>631</v>
      </c>
      <c r="D60" s="241">
        <f>ROUND(1%*Gesamtinvestition,-2)</f>
        <v>30600</v>
      </c>
      <c r="E60" s="1" t="s">
        <v>236</v>
      </c>
      <c r="K60" s="244">
        <f>ROUND(1%*Gesamtinvestition,-2)</f>
        <v>30600</v>
      </c>
      <c r="O60" s="123"/>
      <c r="Q60" s="123"/>
      <c r="S60" s="2">
        <v>1000</v>
      </c>
      <c r="T60" s="2">
        <f>5%*Gesamtinvestition</f>
        <v>153000</v>
      </c>
      <c r="U60" s="2">
        <f>IF($D60&lt;S60,1,0)</f>
        <v>0</v>
      </c>
      <c r="V60" s="2">
        <f>IF($D60&gt;T60,1,0)</f>
        <v>0</v>
      </c>
      <c r="X60" s="2" t="str">
        <f>IF(U60&gt;0,Y60,"")&amp;IF(V60&gt;0,Z60,"")&amp;IF(W60&gt;0,AA60,"")</f>
        <v/>
      </c>
      <c r="Y60" s="354" t="s">
        <v>242</v>
      </c>
      <c r="Z60" s="354" t="s">
        <v>243</v>
      </c>
      <c r="AA60" s="354" t="s">
        <v>935</v>
      </c>
    </row>
    <row r="61" spans="1:38" ht="12.95" customHeight="1" x14ac:dyDescent="0.2">
      <c r="A61" s="184" t="s">
        <v>212</v>
      </c>
      <c r="C61" s="31" t="s">
        <v>498</v>
      </c>
      <c r="D61" s="220">
        <v>1</v>
      </c>
      <c r="E61" s="1" t="s">
        <v>165</v>
      </c>
      <c r="O61" s="123"/>
      <c r="Q61" s="123"/>
      <c r="S61" s="2">
        <v>0</v>
      </c>
      <c r="T61" s="2">
        <v>5</v>
      </c>
      <c r="U61" s="2">
        <f>IF($D61&lt;S61,1,0)</f>
        <v>0</v>
      </c>
      <c r="V61" s="2">
        <f>IF($D61&gt;T61,1,0)</f>
        <v>0</v>
      </c>
      <c r="X61" s="2" t="str">
        <f>IF(U61&gt;0,Y61,"")&amp;IF(V61&gt;0,Z61,"")&amp;IF(W61&gt;0,AA61,"")</f>
        <v/>
      </c>
      <c r="Y61" s="354" t="s">
        <v>936</v>
      </c>
      <c r="Z61" s="354" t="s">
        <v>937</v>
      </c>
    </row>
    <row r="62" spans="1:38" ht="12.95" customHeight="1" x14ac:dyDescent="0.2">
      <c r="A62" s="184" t="s">
        <v>213</v>
      </c>
      <c r="C62" s="31" t="s">
        <v>244</v>
      </c>
      <c r="D62" s="220">
        <v>3</v>
      </c>
      <c r="E62" s="1" t="s">
        <v>165</v>
      </c>
      <c r="O62" s="123"/>
      <c r="Q62" s="123"/>
      <c r="S62" s="2">
        <v>0</v>
      </c>
      <c r="T62" s="2">
        <v>10</v>
      </c>
      <c r="U62" s="2">
        <f>IF($D62&lt;S62,1,0)</f>
        <v>0</v>
      </c>
      <c r="V62" s="2">
        <f>IF($D62&gt;T62,1,0)</f>
        <v>0</v>
      </c>
      <c r="X62" s="2" t="str">
        <f t="shared" ref="X62:X63" si="13">IF(U62&gt;0,Y62,"")&amp;IF(V62&gt;0,Z62,"")&amp;IF(W62&gt;0,AA62,"")</f>
        <v/>
      </c>
      <c r="Y62" s="354" t="s">
        <v>245</v>
      </c>
      <c r="Z62" s="354" t="s">
        <v>246</v>
      </c>
    </row>
    <row r="63" spans="1:38" ht="12.95" customHeight="1" x14ac:dyDescent="0.2">
      <c r="A63" s="184" t="s">
        <v>214</v>
      </c>
      <c r="C63" s="31" t="s">
        <v>247</v>
      </c>
      <c r="D63" s="155">
        <f>Eing_Nominalzins-Eing_allg_Teuerung</f>
        <v>2</v>
      </c>
      <c r="E63" s="1" t="s">
        <v>165</v>
      </c>
      <c r="K63" s="243">
        <f>Eing_Nominalzins-Eing_allg_Teuerung</f>
        <v>2</v>
      </c>
      <c r="O63" s="123"/>
      <c r="Q63" s="123"/>
      <c r="S63" s="2">
        <v>0</v>
      </c>
      <c r="T63" s="2">
        <v>8</v>
      </c>
      <c r="U63" s="2">
        <f t="shared" ref="U63" si="14">IF($D63&lt;S63,1,0)</f>
        <v>0</v>
      </c>
      <c r="V63" s="2">
        <f t="shared" ref="V63" si="15">IF($D63&gt;T63,1,0)</f>
        <v>0</v>
      </c>
      <c r="X63" s="2" t="str">
        <f t="shared" si="13"/>
        <v/>
      </c>
      <c r="Y63" s="354" t="s">
        <v>248</v>
      </c>
      <c r="Z63" s="354" t="s">
        <v>249</v>
      </c>
    </row>
    <row r="64" spans="1:38" ht="12.95" customHeight="1" x14ac:dyDescent="0.2">
      <c r="A64" s="176"/>
      <c r="C64" s="31"/>
      <c r="D64" s="7"/>
      <c r="S64" s="2"/>
      <c r="T64" s="2"/>
      <c r="U64" s="2"/>
    </row>
    <row r="65" spans="1:38" ht="12.95" customHeight="1" x14ac:dyDescent="0.2">
      <c r="A65" s="175">
        <v>140</v>
      </c>
      <c r="B65" s="5" t="s">
        <v>250</v>
      </c>
      <c r="C65" s="31"/>
      <c r="D65" s="3">
        <v>141</v>
      </c>
      <c r="F65" s="3">
        <v>142</v>
      </c>
      <c r="G65" s="3"/>
      <c r="I65" s="3">
        <v>143</v>
      </c>
      <c r="K65" s="3"/>
      <c r="M65" s="3"/>
      <c r="O65" s="3"/>
      <c r="Q65" s="3"/>
      <c r="S65" s="2"/>
      <c r="T65" s="2"/>
      <c r="U65" s="2"/>
    </row>
    <row r="66" spans="1:38" ht="12.95" customHeight="1" x14ac:dyDescent="0.2">
      <c r="A66" s="176"/>
      <c r="B66" s="5"/>
      <c r="C66" s="31"/>
      <c r="F66" s="46"/>
      <c r="G66" s="46" t="s">
        <v>239</v>
      </c>
      <c r="I66" s="48" t="s">
        <v>251</v>
      </c>
      <c r="J66" s="46"/>
      <c r="K66" s="48"/>
      <c r="L66" s="46"/>
      <c r="M66" s="48"/>
      <c r="N66" s="46"/>
      <c r="O66" s="132"/>
      <c r="P66" s="46"/>
      <c r="Q66" s="132"/>
      <c r="R66" s="133"/>
      <c r="S66" s="2"/>
      <c r="T66" s="2"/>
      <c r="U66" s="2"/>
    </row>
    <row r="67" spans="1:38" ht="12.95" customHeight="1" x14ac:dyDescent="0.2">
      <c r="A67" s="184">
        <v>145</v>
      </c>
      <c r="B67" s="5" t="s">
        <v>252</v>
      </c>
      <c r="C67" s="58" t="s">
        <v>253</v>
      </c>
      <c r="G67" s="46" t="s">
        <v>254</v>
      </c>
      <c r="I67" s="48" t="s">
        <v>255</v>
      </c>
      <c r="K67" s="48"/>
      <c r="L67" s="46"/>
      <c r="M67" s="48"/>
      <c r="N67" s="46"/>
      <c r="P67" s="46"/>
      <c r="R67" s="46"/>
      <c r="S67" s="2"/>
      <c r="T67" s="2"/>
      <c r="U67" s="2"/>
      <c r="AH67" s="354" t="s">
        <v>256</v>
      </c>
    </row>
    <row r="68" spans="1:38" ht="12.95" customHeight="1" x14ac:dyDescent="0.2">
      <c r="A68" s="184" t="s">
        <v>122</v>
      </c>
      <c r="C68" s="29" t="s">
        <v>635</v>
      </c>
      <c r="D68" s="223">
        <v>350000</v>
      </c>
      <c r="E68" s="1" t="s">
        <v>163</v>
      </c>
      <c r="F68" s="155">
        <v>1</v>
      </c>
      <c r="G68" s="1" t="s">
        <v>165</v>
      </c>
      <c r="I68" s="154">
        <v>50</v>
      </c>
      <c r="J68" s="1" t="s">
        <v>257</v>
      </c>
      <c r="K68" s="215">
        <v>1</v>
      </c>
      <c r="M68" s="172">
        <v>50</v>
      </c>
      <c r="O68" s="123"/>
      <c r="Q68" s="123"/>
      <c r="S68" s="2">
        <v>10000</v>
      </c>
      <c r="T68" s="2">
        <v>999999999</v>
      </c>
      <c r="U68" s="2">
        <f t="shared" ref="U68:U69" si="16">IF($D68&lt;S68,1,0)</f>
        <v>0</v>
      </c>
      <c r="V68" s="2">
        <f t="shared" ref="V68:V81" si="17">IF($D68&gt;T68,1,0)</f>
        <v>0</v>
      </c>
      <c r="X68" s="2" t="str">
        <f t="shared" ref="X68:X81" si="18">IF(U68&gt;0,Y68,"")&amp;IF(V68&gt;0,Z68,"")&amp;IF(W68&gt;0,AA68,"")</f>
        <v/>
      </c>
      <c r="Y68" s="354" t="s">
        <v>845</v>
      </c>
      <c r="Z68" s="354" t="s">
        <v>846</v>
      </c>
      <c r="AH68" s="354">
        <f t="shared" ref="AH68:AH80" si="19">IF(I68=0,D68*Eing_Realzins/100,-PMT(Eing_Realzins/100,I68,D68))</f>
        <v>11138.123396293799</v>
      </c>
    </row>
    <row r="69" spans="1:38" ht="12.95" customHeight="1" x14ac:dyDescent="0.2">
      <c r="A69" s="184" t="s">
        <v>123</v>
      </c>
      <c r="C69" s="29" t="s">
        <v>638</v>
      </c>
      <c r="D69" s="223">
        <v>450000</v>
      </c>
      <c r="E69" s="1" t="s">
        <v>163</v>
      </c>
      <c r="F69" s="155">
        <v>3</v>
      </c>
      <c r="G69" s="1" t="s">
        <v>165</v>
      </c>
      <c r="I69" s="154">
        <v>20</v>
      </c>
      <c r="J69" s="1" t="s">
        <v>257</v>
      </c>
      <c r="K69" s="215">
        <v>3</v>
      </c>
      <c r="M69" s="172">
        <v>20</v>
      </c>
      <c r="O69" s="123"/>
      <c r="Q69" s="123"/>
      <c r="S69" s="2">
        <v>10000</v>
      </c>
      <c r="T69" s="2">
        <v>999999999</v>
      </c>
      <c r="U69" s="2">
        <f t="shared" si="16"/>
        <v>0</v>
      </c>
      <c r="V69" s="2">
        <f t="shared" si="17"/>
        <v>0</v>
      </c>
      <c r="X69" s="2" t="str">
        <f t="shared" si="18"/>
        <v/>
      </c>
      <c r="Y69" s="354" t="s">
        <v>847</v>
      </c>
      <c r="Z69" s="354" t="s">
        <v>848</v>
      </c>
      <c r="AH69" s="354">
        <f t="shared" si="19"/>
        <v>27520.523156380677</v>
      </c>
    </row>
    <row r="70" spans="1:38" ht="12.95" customHeight="1" x14ac:dyDescent="0.2">
      <c r="A70" s="184" t="s">
        <v>124</v>
      </c>
      <c r="C70" s="183" t="s">
        <v>636</v>
      </c>
      <c r="D70" s="223"/>
      <c r="E70" s="1" t="s">
        <v>163</v>
      </c>
      <c r="F70" s="155">
        <v>3</v>
      </c>
      <c r="G70" s="1" t="s">
        <v>165</v>
      </c>
      <c r="I70" s="154">
        <v>20</v>
      </c>
      <c r="J70" s="1" t="s">
        <v>257</v>
      </c>
      <c r="K70" s="215">
        <v>3</v>
      </c>
      <c r="M70" s="172">
        <v>20</v>
      </c>
      <c r="O70" s="123"/>
      <c r="Q70" s="123"/>
      <c r="S70" s="2">
        <v>10000</v>
      </c>
      <c r="T70" s="2">
        <v>999999999</v>
      </c>
      <c r="U70" s="2">
        <f>IF(Eing_Anteil_WKK=0,0,IF($D70&lt;S70,1,0))</f>
        <v>0</v>
      </c>
      <c r="V70" s="2">
        <f t="shared" si="17"/>
        <v>0</v>
      </c>
      <c r="X70" s="2" t="str">
        <f t="shared" si="18"/>
        <v/>
      </c>
      <c r="Y70" s="354" t="s">
        <v>849</v>
      </c>
      <c r="Z70" s="354" t="s">
        <v>850</v>
      </c>
      <c r="AH70" s="354">
        <f t="shared" si="19"/>
        <v>0</v>
      </c>
    </row>
    <row r="71" spans="1:38" s="157" customFormat="1" ht="12.95" customHeight="1" x14ac:dyDescent="0.2">
      <c r="A71" s="184" t="s">
        <v>208</v>
      </c>
      <c r="C71" s="183" t="s">
        <v>637</v>
      </c>
      <c r="D71" s="223">
        <v>250000</v>
      </c>
      <c r="E71" s="1" t="s">
        <v>163</v>
      </c>
      <c r="F71" s="155">
        <v>2</v>
      </c>
      <c r="G71" s="1" t="s">
        <v>165</v>
      </c>
      <c r="I71" s="154">
        <v>20</v>
      </c>
      <c r="J71" s="1" t="s">
        <v>257</v>
      </c>
      <c r="K71" s="215">
        <v>2</v>
      </c>
      <c r="M71" s="172">
        <v>20</v>
      </c>
      <c r="O71" s="159"/>
      <c r="Q71" s="159"/>
      <c r="S71" s="2">
        <v>10000</v>
      </c>
      <c r="T71" s="2">
        <v>999999999</v>
      </c>
      <c r="U71" s="2">
        <f>IF(Eing_Anteil_WP=0,0,IF($D71&lt;S71,1,0))</f>
        <v>0</v>
      </c>
      <c r="V71" s="2">
        <f t="shared" si="17"/>
        <v>0</v>
      </c>
      <c r="W71" s="2"/>
      <c r="X71" s="2" t="str">
        <f t="shared" si="18"/>
        <v/>
      </c>
      <c r="Y71" s="354" t="s">
        <v>852</v>
      </c>
      <c r="Z71" s="354" t="s">
        <v>853</v>
      </c>
      <c r="AA71" s="354"/>
      <c r="AB71" s="354"/>
      <c r="AC71" s="354"/>
      <c r="AD71" s="354"/>
      <c r="AE71" s="354"/>
      <c r="AF71" s="354"/>
      <c r="AG71" s="354"/>
      <c r="AH71" s="354">
        <f t="shared" si="19"/>
        <v>15289.179531322599</v>
      </c>
      <c r="AI71" s="354"/>
      <c r="AJ71" s="354"/>
      <c r="AK71" s="354"/>
      <c r="AL71" s="354"/>
    </row>
    <row r="72" spans="1:38" s="157" customFormat="1" ht="12.95" customHeight="1" x14ac:dyDescent="0.2">
      <c r="A72" s="184" t="s">
        <v>178</v>
      </c>
      <c r="C72" s="183" t="s">
        <v>639</v>
      </c>
      <c r="D72" s="223"/>
      <c r="E72" s="1" t="s">
        <v>163</v>
      </c>
      <c r="F72" s="155">
        <v>1</v>
      </c>
      <c r="G72" s="1" t="s">
        <v>165</v>
      </c>
      <c r="I72" s="154">
        <v>40</v>
      </c>
      <c r="J72" s="1" t="s">
        <v>257</v>
      </c>
      <c r="K72" s="215">
        <v>1</v>
      </c>
      <c r="M72" s="172">
        <v>40</v>
      </c>
      <c r="O72" s="159"/>
      <c r="Q72" s="159"/>
      <c r="S72" s="2">
        <v>10000</v>
      </c>
      <c r="T72" s="2">
        <v>999999999</v>
      </c>
      <c r="U72" s="2">
        <f>IF(Eing_Anteil_WP=0,0,IF($D72&lt;S72,1,0))</f>
        <v>1</v>
      </c>
      <c r="V72" s="2">
        <f t="shared" si="17"/>
        <v>0</v>
      </c>
      <c r="W72" s="2"/>
      <c r="X72" s="2" t="str">
        <f t="shared" si="18"/>
        <v>145e: Les investissements pour les sondes géothermiques ou l'utilisation des eaux souterraines sont très faibles</v>
      </c>
      <c r="Y72" s="354" t="s">
        <v>854</v>
      </c>
      <c r="Z72" s="354" t="s">
        <v>855</v>
      </c>
      <c r="AA72" s="354"/>
      <c r="AB72" s="354"/>
      <c r="AC72" s="354"/>
      <c r="AD72" s="354"/>
      <c r="AE72" s="354"/>
      <c r="AF72" s="354"/>
      <c r="AG72" s="354"/>
      <c r="AH72" s="354">
        <f t="shared" si="19"/>
        <v>0</v>
      </c>
      <c r="AI72" s="354"/>
      <c r="AJ72" s="354"/>
      <c r="AK72" s="354"/>
      <c r="AL72" s="354"/>
    </row>
    <row r="73" spans="1:38" s="157" customFormat="1" ht="12.95" customHeight="1" x14ac:dyDescent="0.2">
      <c r="A73" s="184" t="s">
        <v>209</v>
      </c>
      <c r="C73" s="183" t="s">
        <v>640</v>
      </c>
      <c r="D73" s="223"/>
      <c r="E73" s="1" t="s">
        <v>163</v>
      </c>
      <c r="F73" s="155">
        <v>2</v>
      </c>
      <c r="G73" s="1" t="s">
        <v>165</v>
      </c>
      <c r="I73" s="154">
        <v>20</v>
      </c>
      <c r="J73" s="1" t="s">
        <v>257</v>
      </c>
      <c r="K73" s="215">
        <v>2</v>
      </c>
      <c r="M73" s="172">
        <v>20</v>
      </c>
      <c r="O73" s="159"/>
      <c r="Q73" s="159"/>
      <c r="S73" s="2">
        <v>10000</v>
      </c>
      <c r="T73" s="2">
        <v>999999999</v>
      </c>
      <c r="U73" s="2">
        <f>IF(Eing_Anteil_AWN=0,0,IF($D73&lt;S73,1,0))</f>
        <v>0</v>
      </c>
      <c r="V73" s="2">
        <f t="shared" ref="V73" si="20">IF($D73&gt;T73,1,0)</f>
        <v>0</v>
      </c>
      <c r="W73" s="2"/>
      <c r="X73" s="2" t="str">
        <f t="shared" ref="X73" si="21">IF(U73&gt;0,Y73,"")&amp;IF(V73&gt;0,Z73,"")&amp;IF(W73&gt;0,AA73,"")</f>
        <v/>
      </c>
      <c r="Y73" s="354" t="s">
        <v>856</v>
      </c>
      <c r="Z73" s="354" t="s">
        <v>857</v>
      </c>
      <c r="AA73" s="354"/>
      <c r="AB73" s="354"/>
      <c r="AC73" s="354"/>
      <c r="AD73" s="354"/>
      <c r="AE73" s="354"/>
      <c r="AF73" s="354"/>
      <c r="AG73" s="354"/>
      <c r="AH73" s="354">
        <f t="shared" si="19"/>
        <v>0</v>
      </c>
      <c r="AI73" s="354"/>
      <c r="AJ73" s="354"/>
      <c r="AK73" s="354"/>
      <c r="AL73" s="354"/>
    </row>
    <row r="74" spans="1:38" s="157" customFormat="1" ht="12.95" customHeight="1" x14ac:dyDescent="0.2">
      <c r="A74" s="184" t="s">
        <v>200</v>
      </c>
      <c r="C74" s="183" t="s">
        <v>641</v>
      </c>
      <c r="D74" s="223"/>
      <c r="E74" s="1" t="s">
        <v>163</v>
      </c>
      <c r="F74" s="155">
        <v>2</v>
      </c>
      <c r="G74" s="1" t="s">
        <v>165</v>
      </c>
      <c r="I74" s="154">
        <v>20</v>
      </c>
      <c r="J74" s="1" t="s">
        <v>257</v>
      </c>
      <c r="K74" s="215">
        <v>2</v>
      </c>
      <c r="M74" s="172">
        <v>20</v>
      </c>
      <c r="O74" s="159"/>
      <c r="Q74" s="159"/>
      <c r="S74" s="2">
        <v>10000</v>
      </c>
      <c r="T74" s="2">
        <v>999999999</v>
      </c>
      <c r="U74" s="2">
        <f>IF(Eing_Anteil_AWN=0,0,IF($D74&lt;S74,1,0))</f>
        <v>0</v>
      </c>
      <c r="V74" s="2">
        <f t="shared" si="17"/>
        <v>0</v>
      </c>
      <c r="W74" s="2"/>
      <c r="X74" s="2" t="str">
        <f t="shared" si="18"/>
        <v/>
      </c>
      <c r="Y74" s="354" t="s">
        <v>858</v>
      </c>
      <c r="Z74" s="354" t="s">
        <v>859</v>
      </c>
      <c r="AA74" s="354"/>
      <c r="AB74" s="354"/>
      <c r="AC74" s="354"/>
      <c r="AD74" s="354"/>
      <c r="AE74" s="354"/>
      <c r="AF74" s="354"/>
      <c r="AG74" s="354"/>
      <c r="AH74" s="354">
        <f t="shared" si="19"/>
        <v>0</v>
      </c>
      <c r="AI74" s="354"/>
      <c r="AJ74" s="354"/>
      <c r="AK74" s="354"/>
      <c r="AL74" s="354"/>
    </row>
    <row r="75" spans="1:38" ht="12.95" customHeight="1" x14ac:dyDescent="0.2">
      <c r="A75" s="184" t="s">
        <v>204</v>
      </c>
      <c r="C75" s="29" t="s">
        <v>642</v>
      </c>
      <c r="D75" s="223">
        <v>90000</v>
      </c>
      <c r="E75" s="1" t="s">
        <v>163</v>
      </c>
      <c r="F75" s="155">
        <v>2</v>
      </c>
      <c r="G75" s="1" t="s">
        <v>165</v>
      </c>
      <c r="I75" s="154">
        <v>20</v>
      </c>
      <c r="J75" s="1" t="s">
        <v>257</v>
      </c>
      <c r="K75" s="215">
        <v>2</v>
      </c>
      <c r="M75" s="172">
        <v>20</v>
      </c>
      <c r="O75" s="123"/>
      <c r="Q75" s="123"/>
      <c r="S75" s="2">
        <v>10000</v>
      </c>
      <c r="T75" s="2">
        <v>999999999</v>
      </c>
      <c r="U75" s="2">
        <f>IF(Anteil_fossil_erzeugt=0,0,IF($D75&lt;S75,1,0))</f>
        <v>0</v>
      </c>
      <c r="V75" s="2">
        <f t="shared" si="17"/>
        <v>0</v>
      </c>
      <c r="X75" s="2" t="str">
        <f t="shared" si="18"/>
        <v/>
      </c>
      <c r="Y75" s="354" t="s">
        <v>860</v>
      </c>
      <c r="Z75" s="354" t="s">
        <v>861</v>
      </c>
      <c r="AH75" s="354">
        <f t="shared" si="19"/>
        <v>5504.1046312761355</v>
      </c>
    </row>
    <row r="76" spans="1:38" ht="12.95" customHeight="1" x14ac:dyDescent="0.2">
      <c r="A76" s="184" t="s">
        <v>258</v>
      </c>
      <c r="C76" s="183" t="s">
        <v>643</v>
      </c>
      <c r="D76" s="223">
        <v>320000</v>
      </c>
      <c r="E76" s="1" t="s">
        <v>163</v>
      </c>
      <c r="F76" s="155">
        <v>2</v>
      </c>
      <c r="G76" s="1" t="s">
        <v>165</v>
      </c>
      <c r="I76" s="154">
        <v>20</v>
      </c>
      <c r="J76" s="1" t="s">
        <v>257</v>
      </c>
      <c r="K76" s="215">
        <v>2</v>
      </c>
      <c r="M76" s="172">
        <v>20</v>
      </c>
      <c r="O76" s="123"/>
      <c r="Q76" s="123"/>
      <c r="S76" s="2">
        <v>10000</v>
      </c>
      <c r="T76" s="2">
        <v>999999999</v>
      </c>
      <c r="U76" s="2">
        <f t="shared" ref="U76:U81" si="22">IF($D76&lt;S76,1,0)</f>
        <v>0</v>
      </c>
      <c r="V76" s="2">
        <f t="shared" si="17"/>
        <v>0</v>
      </c>
      <c r="X76" s="2" t="str">
        <f t="shared" si="18"/>
        <v/>
      </c>
      <c r="Y76" s="354" t="s">
        <v>862</v>
      </c>
      <c r="Z76" s="354" t="s">
        <v>863</v>
      </c>
      <c r="AH76" s="354">
        <f t="shared" si="19"/>
        <v>19570.149800092924</v>
      </c>
    </row>
    <row r="77" spans="1:38" ht="12.95" customHeight="1" x14ac:dyDescent="0.2">
      <c r="A77" s="184" t="s">
        <v>233</v>
      </c>
      <c r="C77" s="29" t="s">
        <v>259</v>
      </c>
      <c r="D77" s="223">
        <v>900000</v>
      </c>
      <c r="E77" s="1" t="s">
        <v>163</v>
      </c>
      <c r="F77" s="155">
        <v>1</v>
      </c>
      <c r="G77" s="1" t="s">
        <v>165</v>
      </c>
      <c r="I77" s="154">
        <v>40</v>
      </c>
      <c r="J77" s="1" t="s">
        <v>257</v>
      </c>
      <c r="K77" s="215">
        <v>1</v>
      </c>
      <c r="M77" s="172">
        <v>40</v>
      </c>
      <c r="O77" s="123"/>
      <c r="Q77" s="123"/>
      <c r="S77" s="2">
        <v>10000</v>
      </c>
      <c r="T77" s="2">
        <v>999999999</v>
      </c>
      <c r="U77" s="2">
        <f>IF(Eing_Netzverluste&lt;=0,0,IF($D77&lt;S77,1,0))</f>
        <v>0</v>
      </c>
      <c r="V77" s="2">
        <f t="shared" si="17"/>
        <v>0</v>
      </c>
      <c r="X77" s="2" t="str">
        <f t="shared" si="18"/>
        <v/>
      </c>
      <c r="Y77" s="354" t="s">
        <v>864</v>
      </c>
      <c r="Z77" s="354" t="s">
        <v>865</v>
      </c>
      <c r="AH77" s="354">
        <f t="shared" si="19"/>
        <v>32900.173017612753</v>
      </c>
    </row>
    <row r="78" spans="1:38" ht="12.95" customHeight="1" x14ac:dyDescent="0.2">
      <c r="A78" s="184" t="s">
        <v>260</v>
      </c>
      <c r="C78" s="29" t="s">
        <v>917</v>
      </c>
      <c r="D78" s="223">
        <v>50000</v>
      </c>
      <c r="E78" s="1" t="s">
        <v>163</v>
      </c>
      <c r="F78" s="155">
        <v>2</v>
      </c>
      <c r="G78" s="1" t="s">
        <v>165</v>
      </c>
      <c r="I78" s="154">
        <v>15</v>
      </c>
      <c r="J78" s="1" t="s">
        <v>257</v>
      </c>
      <c r="K78" s="215">
        <v>2</v>
      </c>
      <c r="M78" s="172">
        <v>15</v>
      </c>
      <c r="O78" s="123"/>
      <c r="Q78" s="123"/>
      <c r="S78" s="2">
        <v>10000</v>
      </c>
      <c r="T78" s="2">
        <v>999999999</v>
      </c>
      <c r="U78" s="2">
        <f t="shared" si="22"/>
        <v>0</v>
      </c>
      <c r="V78" s="2">
        <f t="shared" si="17"/>
        <v>0</v>
      </c>
      <c r="X78" s="2" t="str">
        <f t="shared" si="18"/>
        <v/>
      </c>
      <c r="Y78" s="354" t="s">
        <v>866</v>
      </c>
      <c r="Z78" s="354" t="s">
        <v>867</v>
      </c>
      <c r="AH78" s="354">
        <f t="shared" si="19"/>
        <v>3891.273612512206</v>
      </c>
    </row>
    <row r="79" spans="1:38" ht="12.95" customHeight="1" x14ac:dyDescent="0.2">
      <c r="A79" s="184" t="s">
        <v>211</v>
      </c>
      <c r="C79" s="29" t="s">
        <v>956</v>
      </c>
      <c r="D79" s="223">
        <v>250000</v>
      </c>
      <c r="E79" s="1" t="s">
        <v>163</v>
      </c>
      <c r="F79" s="155">
        <v>2</v>
      </c>
      <c r="G79" s="1" t="s">
        <v>165</v>
      </c>
      <c r="I79" s="154">
        <v>30</v>
      </c>
      <c r="J79" s="1" t="s">
        <v>257</v>
      </c>
      <c r="K79" s="215">
        <v>2</v>
      </c>
      <c r="M79" s="172">
        <v>30</v>
      </c>
      <c r="O79" s="123"/>
      <c r="Q79" s="123"/>
      <c r="S79" s="2">
        <v>10000</v>
      </c>
      <c r="T79" s="2">
        <v>999999999</v>
      </c>
      <c r="U79" s="2">
        <f>IF(Eing_Netzverluste&lt;=0,0,IF($D79&lt;S79,1,0))</f>
        <v>0</v>
      </c>
      <c r="V79" s="2">
        <f t="shared" si="17"/>
        <v>0</v>
      </c>
      <c r="X79" s="2" t="str">
        <f t="shared" si="18"/>
        <v/>
      </c>
      <c r="Y79" s="354" t="s">
        <v>868</v>
      </c>
      <c r="Z79" s="354" t="s">
        <v>869</v>
      </c>
      <c r="AH79" s="354">
        <f t="shared" si="19"/>
        <v>11162.48057335074</v>
      </c>
    </row>
    <row r="80" spans="1:38" ht="12.95" customHeight="1" x14ac:dyDescent="0.2">
      <c r="A80" s="184" t="s">
        <v>212</v>
      </c>
      <c r="C80" s="29" t="s">
        <v>261</v>
      </c>
      <c r="D80" s="223">
        <v>400000</v>
      </c>
      <c r="E80" s="1" t="s">
        <v>163</v>
      </c>
      <c r="F80" s="155">
        <v>0</v>
      </c>
      <c r="G80" s="1" t="s">
        <v>165</v>
      </c>
      <c r="I80" s="154">
        <f>IF(SUM(D68:D79)=0,1,SUMPRODUCT(D68:D79,I68:I79)/SUM(D68:D79))</f>
        <v>31.560150375939848</v>
      </c>
      <c r="J80" s="1" t="s">
        <v>257</v>
      </c>
      <c r="K80" s="215">
        <v>0</v>
      </c>
      <c r="M80" s="172">
        <f>IF(SUM(D68:D79)=0,1,SUMPRODUCT(D68:D79,I68:I79)/SUM(D68:D79))</f>
        <v>31.560150375939848</v>
      </c>
      <c r="O80" s="123"/>
      <c r="Q80" s="123"/>
      <c r="S80" s="2">
        <v>0</v>
      </c>
      <c r="T80" s="2">
        <v>999999999</v>
      </c>
      <c r="U80" s="2">
        <f t="shared" si="22"/>
        <v>0</v>
      </c>
      <c r="V80" s="2">
        <f t="shared" si="17"/>
        <v>0</v>
      </c>
      <c r="W80" s="2">
        <f>IF(Eing_Kosten_Planung_QM&lt;Gesamtinvestition/20,1,0)</f>
        <v>0</v>
      </c>
      <c r="X80" s="2" t="str">
        <f t="shared" si="18"/>
        <v/>
      </c>
      <c r="Y80" s="354" t="s">
        <v>262</v>
      </c>
      <c r="Z80" s="354" t="s">
        <v>263</v>
      </c>
      <c r="AA80" s="354" t="s">
        <v>264</v>
      </c>
      <c r="AH80" s="354">
        <f t="shared" si="19"/>
        <v>17214.496556585349</v>
      </c>
    </row>
    <row r="81" spans="1:38" s="5" customFormat="1" ht="12.95" customHeight="1" x14ac:dyDescent="0.2">
      <c r="A81" s="184" t="s">
        <v>265</v>
      </c>
      <c r="C81" s="25" t="s">
        <v>645</v>
      </c>
      <c r="D81" s="41">
        <f>SUM(D68:D80)</f>
        <v>3060000</v>
      </c>
      <c r="E81" s="5" t="s">
        <v>163</v>
      </c>
      <c r="I81" s="41">
        <f>IF(SUM(D68:D80)=0,"",SUMPRODUCT(D68:D80,I68:I80)/SUM(D68:D80))</f>
        <v>31.560150375939848</v>
      </c>
      <c r="J81" s="5" t="s">
        <v>257</v>
      </c>
      <c r="O81" s="123"/>
      <c r="Q81" s="123"/>
      <c r="S81" s="9">
        <v>0</v>
      </c>
      <c r="T81" s="9">
        <v>999999999</v>
      </c>
      <c r="U81" s="9">
        <f t="shared" si="22"/>
        <v>0</v>
      </c>
      <c r="V81" s="9">
        <f t="shared" si="17"/>
        <v>0</v>
      </c>
      <c r="W81" s="9"/>
      <c r="X81" s="2" t="str">
        <f t="shared" si="18"/>
        <v/>
      </c>
      <c r="Y81" s="354" t="s">
        <v>267</v>
      </c>
      <c r="Z81" s="354" t="s">
        <v>268</v>
      </c>
      <c r="AA81" s="356"/>
      <c r="AB81" s="356"/>
      <c r="AC81" s="356"/>
      <c r="AD81" s="356"/>
      <c r="AE81" s="356"/>
      <c r="AF81" s="356"/>
      <c r="AG81" s="356"/>
      <c r="AH81" s="356"/>
      <c r="AI81" s="356"/>
      <c r="AJ81" s="356"/>
      <c r="AK81" s="356"/>
      <c r="AL81" s="356"/>
    </row>
    <row r="82" spans="1:38" s="5" customFormat="1" ht="12.95" customHeight="1" x14ac:dyDescent="0.2">
      <c r="A82" s="184">
        <v>150</v>
      </c>
      <c r="B82" s="5" t="s">
        <v>269</v>
      </c>
      <c r="C82" s="25"/>
      <c r="D82" s="134" t="s">
        <v>270</v>
      </c>
      <c r="E82" s="135"/>
      <c r="F82" s="46" t="s">
        <v>271</v>
      </c>
      <c r="I82" s="41"/>
      <c r="O82" s="1"/>
      <c r="Q82" s="1"/>
      <c r="S82" s="9"/>
      <c r="T82" s="9"/>
      <c r="U82" s="9"/>
      <c r="V82" s="9"/>
      <c r="W82" s="9"/>
      <c r="X82" s="9"/>
      <c r="Y82" s="356"/>
      <c r="Z82" s="356"/>
      <c r="AA82" s="356"/>
      <c r="AB82" s="356"/>
      <c r="AC82" s="356"/>
      <c r="AD82" s="356"/>
      <c r="AE82" s="356"/>
      <c r="AF82" s="356"/>
      <c r="AG82" s="356"/>
      <c r="AH82" s="356"/>
      <c r="AI82" s="356"/>
      <c r="AJ82" s="356"/>
      <c r="AK82" s="356"/>
      <c r="AL82" s="356"/>
    </row>
    <row r="83" spans="1:38" s="5" customFormat="1" ht="12.95" customHeight="1" x14ac:dyDescent="0.2">
      <c r="A83" s="184" t="s">
        <v>122</v>
      </c>
      <c r="C83" s="29" t="s">
        <v>272</v>
      </c>
      <c r="D83" s="34">
        <f>Eing_Beginnjahr</f>
        <v>2024</v>
      </c>
      <c r="E83" s="1"/>
      <c r="F83" s="1">
        <f>100-SUM(F84:F87)</f>
        <v>30</v>
      </c>
      <c r="G83" s="5" t="s">
        <v>165</v>
      </c>
      <c r="I83" s="6">
        <f>F83</f>
        <v>30</v>
      </c>
      <c r="J83" s="5" t="s">
        <v>165</v>
      </c>
      <c r="O83" s="123"/>
      <c r="Q83" s="123"/>
      <c r="S83" s="9"/>
      <c r="T83" s="9"/>
      <c r="U83" s="9"/>
      <c r="V83" s="9"/>
      <c r="W83" s="9"/>
      <c r="X83" s="9"/>
      <c r="Y83" s="356"/>
      <c r="Z83" s="356"/>
      <c r="AA83" s="356"/>
      <c r="AB83" s="356"/>
      <c r="AC83" s="356"/>
      <c r="AD83" s="356"/>
      <c r="AE83" s="356"/>
      <c r="AF83" s="356"/>
      <c r="AG83" s="356"/>
      <c r="AH83" s="356"/>
      <c r="AI83" s="356"/>
      <c r="AJ83" s="356"/>
      <c r="AK83" s="356"/>
      <c r="AL83" s="356"/>
    </row>
    <row r="84" spans="1:38" s="5" customFormat="1" ht="12.95" customHeight="1" x14ac:dyDescent="0.2">
      <c r="A84" s="184" t="s">
        <v>123</v>
      </c>
      <c r="C84" s="29" t="s">
        <v>273</v>
      </c>
      <c r="D84" s="295">
        <f>Eing_Beginnjahr+1</f>
        <v>2025</v>
      </c>
      <c r="E84" s="1"/>
      <c r="F84" s="296">
        <v>40</v>
      </c>
      <c r="G84" s="5" t="s">
        <v>165</v>
      </c>
      <c r="I84" s="6">
        <f>F83+F84</f>
        <v>70</v>
      </c>
      <c r="J84" s="5" t="s">
        <v>165</v>
      </c>
      <c r="K84" s="173">
        <f>D83+1</f>
        <v>2025</v>
      </c>
      <c r="M84" s="34"/>
      <c r="O84" s="123"/>
      <c r="Q84" s="123"/>
      <c r="S84" s="9"/>
      <c r="T84" s="9"/>
      <c r="U84" s="9"/>
      <c r="V84" s="9"/>
      <c r="W84" s="9"/>
      <c r="X84" s="9"/>
      <c r="Y84" s="356"/>
      <c r="Z84" s="356"/>
      <c r="AA84" s="356"/>
      <c r="AB84" s="356"/>
      <c r="AC84" s="356"/>
      <c r="AD84" s="356"/>
      <c r="AE84" s="356"/>
      <c r="AF84" s="356"/>
      <c r="AG84" s="356"/>
      <c r="AH84" s="356"/>
      <c r="AI84" s="356"/>
      <c r="AJ84" s="356"/>
      <c r="AK84" s="356"/>
      <c r="AL84" s="356"/>
    </row>
    <row r="85" spans="1:38" ht="12.95" customHeight="1" x14ac:dyDescent="0.2">
      <c r="A85" s="184" t="s">
        <v>124</v>
      </c>
      <c r="C85" s="29" t="s">
        <v>274</v>
      </c>
      <c r="D85" s="295">
        <f>Eing_Beginnjahr+2</f>
        <v>2026</v>
      </c>
      <c r="F85" s="296">
        <v>10</v>
      </c>
      <c r="G85" s="1" t="s">
        <v>165</v>
      </c>
      <c r="I85" s="6">
        <f>I84+F85</f>
        <v>80</v>
      </c>
      <c r="J85" s="1" t="s">
        <v>165</v>
      </c>
      <c r="K85" s="173">
        <f t="shared" ref="K85:K87" si="23">D84+1</f>
        <v>2026</v>
      </c>
      <c r="M85" s="34"/>
      <c r="O85" s="123"/>
      <c r="Q85" s="123"/>
      <c r="S85" s="2"/>
      <c r="T85" s="2"/>
      <c r="U85" s="2"/>
    </row>
    <row r="86" spans="1:38" ht="12.95" customHeight="1" x14ac:dyDescent="0.2">
      <c r="A86" s="184" t="s">
        <v>208</v>
      </c>
      <c r="C86" s="29" t="s">
        <v>275</v>
      </c>
      <c r="D86" s="154">
        <v>2030</v>
      </c>
      <c r="F86" s="242">
        <v>20</v>
      </c>
      <c r="G86" s="1" t="s">
        <v>165</v>
      </c>
      <c r="I86" s="6">
        <f>I85+F86</f>
        <v>100</v>
      </c>
      <c r="J86" s="1" t="s">
        <v>165</v>
      </c>
      <c r="K86" s="173">
        <f t="shared" si="23"/>
        <v>2027</v>
      </c>
      <c r="M86" s="34"/>
      <c r="O86" s="123"/>
      <c r="Q86" s="123"/>
      <c r="S86" s="2"/>
      <c r="T86" s="2"/>
      <c r="U86" s="2"/>
    </row>
    <row r="87" spans="1:38" ht="12.95" customHeight="1" x14ac:dyDescent="0.2">
      <c r="A87" s="184" t="s">
        <v>178</v>
      </c>
      <c r="C87" s="29" t="s">
        <v>276</v>
      </c>
      <c r="D87" s="154">
        <f t="shared" ref="D87" si="24">D86+1</f>
        <v>2031</v>
      </c>
      <c r="F87" s="242"/>
      <c r="G87" s="1" t="s">
        <v>165</v>
      </c>
      <c r="I87" s="6">
        <f>I86+F87</f>
        <v>100</v>
      </c>
      <c r="J87" s="1" t="s">
        <v>165</v>
      </c>
      <c r="K87" s="173">
        <f t="shared" si="23"/>
        <v>2031</v>
      </c>
      <c r="M87" s="34"/>
      <c r="O87" s="123"/>
      <c r="Q87" s="123"/>
      <c r="S87" s="2"/>
      <c r="T87" s="2"/>
      <c r="U87" s="2"/>
    </row>
    <row r="88" spans="1:38" ht="12.95" customHeight="1" x14ac:dyDescent="0.2">
      <c r="A88" s="176"/>
      <c r="C88" s="29"/>
      <c r="F88" s="205">
        <v>151</v>
      </c>
      <c r="S88" s="2"/>
      <c r="T88" s="2"/>
      <c r="U88" s="2"/>
    </row>
    <row r="89" spans="1:38" ht="12.95" customHeight="1" x14ac:dyDescent="0.2">
      <c r="A89" s="184">
        <v>155</v>
      </c>
      <c r="B89" s="5" t="s">
        <v>646</v>
      </c>
      <c r="C89" s="183" t="s">
        <v>648</v>
      </c>
      <c r="D89" s="221">
        <v>500000</v>
      </c>
      <c r="E89" s="1" t="s">
        <v>163</v>
      </c>
      <c r="F89" s="1">
        <f>IF(Gesamtinvestition&gt;0,ROUND(Eing_Eigenkapital/Gesamtinvestition*100,0),"")</f>
        <v>16</v>
      </c>
      <c r="G89" s="1" t="s">
        <v>165</v>
      </c>
      <c r="I89" s="1" t="s">
        <v>277</v>
      </c>
      <c r="O89" s="123"/>
      <c r="Q89" s="123"/>
      <c r="S89" s="2">
        <f>5%*Gesamtinvestition</f>
        <v>153000</v>
      </c>
      <c r="T89" s="2">
        <f>Gesamtinvestition</f>
        <v>3060000</v>
      </c>
      <c r="U89" s="2">
        <f t="shared" ref="U89" si="25">IF($D89&lt;S89,1,0)</f>
        <v>0</v>
      </c>
      <c r="V89" s="2">
        <f t="shared" ref="V89" si="26">IF($D89&gt;T89,1,0)</f>
        <v>0</v>
      </c>
      <c r="X89" s="2" t="str">
        <f t="shared" ref="X89" si="27">IF(U89&gt;0,Y89,"")&amp;IF(V89&gt;0,Z89,"")&amp;IF(W89&gt;0,AA89,"")</f>
        <v/>
      </c>
      <c r="Y89" s="354" t="s">
        <v>871</v>
      </c>
      <c r="Z89" s="354" t="s">
        <v>872</v>
      </c>
    </row>
    <row r="90" spans="1:38" ht="12.95" customHeight="1" x14ac:dyDescent="0.2">
      <c r="A90" s="184">
        <v>156</v>
      </c>
      <c r="B90" s="47"/>
      <c r="C90" s="183" t="s">
        <v>650</v>
      </c>
      <c r="D90" s="241">
        <f>SUM(E3_Consommateurs!$D$23:$XFD$23)</f>
        <v>1191000</v>
      </c>
      <c r="E90" s="1" t="s">
        <v>163</v>
      </c>
      <c r="F90" s="1">
        <f>IF(Gesamtinvestition&gt;0,ROUND(Summe_einmalige_Anschlusskosten/Gesamtinvestition*100,0),"")</f>
        <v>39</v>
      </c>
      <c r="G90" s="1" t="s">
        <v>165</v>
      </c>
      <c r="I90" s="1" t="s">
        <v>277</v>
      </c>
      <c r="K90" s="244">
        <f>SUM(E3_Consommateurs!$D$23:$XFD$23)</f>
        <v>1191000</v>
      </c>
      <c r="O90" s="123"/>
      <c r="Q90" s="123"/>
      <c r="S90" s="2"/>
      <c r="T90" s="2"/>
      <c r="U90" s="2"/>
    </row>
    <row r="91" spans="1:38" ht="12.95" customHeight="1" x14ac:dyDescent="0.2">
      <c r="A91" s="176"/>
      <c r="C91" s="29"/>
      <c r="S91" s="2"/>
      <c r="T91" s="2"/>
      <c r="U91" s="2"/>
    </row>
    <row r="92" spans="1:38" ht="12.95" customHeight="1" x14ac:dyDescent="0.2">
      <c r="A92" s="184">
        <v>160</v>
      </c>
      <c r="B92" s="5" t="s">
        <v>278</v>
      </c>
      <c r="C92" s="25" t="s">
        <v>279</v>
      </c>
      <c r="S92" s="2"/>
      <c r="T92" s="2"/>
      <c r="U92" s="2"/>
      <c r="X92" s="2" t="str">
        <f>X93&amp;X94&amp;X97&amp;X95</f>
        <v/>
      </c>
    </row>
    <row r="93" spans="1:38" ht="12.95" customHeight="1" x14ac:dyDescent="0.2">
      <c r="A93" s="184" t="s">
        <v>122</v>
      </c>
      <c r="C93" s="29" t="s">
        <v>280</v>
      </c>
      <c r="D93" s="221">
        <v>850000</v>
      </c>
      <c r="E93" s="1" t="s">
        <v>163</v>
      </c>
      <c r="F93" s="1">
        <f>IF(Gesamtinvestition&gt;0,ROUND(Eing_Kredit_1/Gesamtinvestition*100,0),"")</f>
        <v>28</v>
      </c>
      <c r="G93" s="1" t="s">
        <v>165</v>
      </c>
      <c r="I93" s="1" t="s">
        <v>277</v>
      </c>
      <c r="O93" s="123"/>
      <c r="Q93" s="123"/>
      <c r="S93" s="2">
        <v>0</v>
      </c>
      <c r="T93" s="2">
        <f>Gesamtinvestition</f>
        <v>3060000</v>
      </c>
      <c r="U93" s="2">
        <f>IF($D93&lt;S93,1,0)</f>
        <v>0</v>
      </c>
      <c r="V93" s="2">
        <f>IF($D93&gt;T93,1,0)</f>
        <v>0</v>
      </c>
      <c r="X93" s="2" t="str">
        <f>IF(U93&gt;0,Y93,"")&amp;IF(V93&gt;0,Z93,"")&amp;IF(W93&gt;0,AA93,"")</f>
        <v/>
      </c>
      <c r="Y93" s="354" t="s">
        <v>873</v>
      </c>
      <c r="Z93" s="354" t="s">
        <v>281</v>
      </c>
    </row>
    <row r="94" spans="1:38" ht="12.95" customHeight="1" x14ac:dyDescent="0.2">
      <c r="A94" s="184" t="s">
        <v>123</v>
      </c>
      <c r="C94" s="29" t="s">
        <v>647</v>
      </c>
      <c r="D94" s="221">
        <v>20</v>
      </c>
      <c r="E94" s="1" t="s">
        <v>257</v>
      </c>
      <c r="O94" s="123"/>
      <c r="Q94" s="123"/>
      <c r="S94" s="2">
        <v>0</v>
      </c>
      <c r="T94" s="2">
        <v>25</v>
      </c>
      <c r="U94" s="2">
        <f>IF($D94&lt;S94,Eing_Kredit_1,0)</f>
        <v>0</v>
      </c>
      <c r="V94" s="2">
        <f>IF($D94&gt;T94,Eing_Kredit_1,0)</f>
        <v>0</v>
      </c>
      <c r="X94" s="2" t="str">
        <f>IF(U94&gt;0,Y94,"")&amp;IF(V94&gt;0,Z94,"")&amp;IF(W94&gt;0,AA94,"")</f>
        <v/>
      </c>
      <c r="Y94" s="354" t="s">
        <v>283</v>
      </c>
      <c r="Z94" s="354" t="s">
        <v>284</v>
      </c>
    </row>
    <row r="95" spans="1:38" ht="12.95" customHeight="1" x14ac:dyDescent="0.2">
      <c r="A95" s="184" t="s">
        <v>124</v>
      </c>
      <c r="C95" s="29" t="s">
        <v>285</v>
      </c>
      <c r="D95" s="219">
        <v>2025</v>
      </c>
      <c r="O95" s="123"/>
      <c r="Q95" s="123"/>
      <c r="S95" s="2">
        <f>Eing_Beginnjahr-1</f>
        <v>2023</v>
      </c>
      <c r="T95" s="2">
        <f>S95+20</f>
        <v>2043</v>
      </c>
      <c r="U95" s="2">
        <f>IF($D95&lt;=S95,Eing_Kredit_1,0)</f>
        <v>0</v>
      </c>
      <c r="V95" s="2">
        <f>IF($D95&gt;T95,Eing_Kredit_1,0)</f>
        <v>0</v>
      </c>
      <c r="X95" s="2" t="str">
        <f>IF(U95&gt;0,Y95,"")&amp;IF(V95&gt;0,Z95,"")&amp;IF(W95&gt;0,AA95,"")</f>
        <v/>
      </c>
      <c r="Y95" s="354" t="s">
        <v>286</v>
      </c>
      <c r="Z95" s="354" t="s">
        <v>287</v>
      </c>
    </row>
    <row r="96" spans="1:38" ht="12.95" customHeight="1" x14ac:dyDescent="0.2">
      <c r="A96" s="184" t="s">
        <v>208</v>
      </c>
      <c r="C96" s="183" t="s">
        <v>653</v>
      </c>
      <c r="D96" s="154">
        <f>Eing_Kreditstartjahr_1+1</f>
        <v>2026</v>
      </c>
      <c r="K96" s="173">
        <f>Eing_Kreditstartjahr_1+1</f>
        <v>2026</v>
      </c>
      <c r="O96" s="123"/>
      <c r="Q96" s="123"/>
      <c r="S96" s="2">
        <f>Eing_Kreditstartjahr_1-1</f>
        <v>2024</v>
      </c>
      <c r="T96" s="2">
        <f>Eing_Kreditstartjahr_1+5</f>
        <v>2030</v>
      </c>
      <c r="U96" s="2">
        <f>IF($D96&lt;=S96,Eing_Kredit_1,0)</f>
        <v>0</v>
      </c>
      <c r="V96" s="2">
        <f>IF($D96&gt;T96,Eing_Kredit_1,0)</f>
        <v>0</v>
      </c>
      <c r="X96" s="2" t="str">
        <f>IF(U96&gt;0,Y96,"")&amp;IF(V96&gt;0,Z96,"")&amp;IF(W96&gt;0,AA96,"")</f>
        <v/>
      </c>
      <c r="Y96" s="354" t="s">
        <v>874</v>
      </c>
      <c r="Z96" s="354" t="s">
        <v>875</v>
      </c>
    </row>
    <row r="97" spans="1:26" ht="12.95" customHeight="1" x14ac:dyDescent="0.2">
      <c r="A97" s="184" t="s">
        <v>178</v>
      </c>
      <c r="C97" s="29" t="s">
        <v>288</v>
      </c>
      <c r="D97" s="218">
        <v>3</v>
      </c>
      <c r="E97" s="1" t="s">
        <v>165</v>
      </c>
      <c r="O97" s="123"/>
      <c r="Q97" s="123"/>
      <c r="S97" s="2">
        <v>2</v>
      </c>
      <c r="T97" s="2">
        <v>10</v>
      </c>
      <c r="U97" s="2">
        <f>IF($D97&lt;=S97,Eing_Kredit_1,0)</f>
        <v>0</v>
      </c>
      <c r="V97" s="2">
        <f>IF($D97&gt;T97,Eing_Kredit_1,0)</f>
        <v>0</v>
      </c>
      <c r="X97" s="2" t="str">
        <f>IF(U97&gt;0,Y97,"")&amp;IF(V97&gt;0,Z97,"")&amp;IF(W97&gt;0,AA97,"")</f>
        <v/>
      </c>
      <c r="Y97" s="354" t="s">
        <v>289</v>
      </c>
      <c r="Z97" s="354" t="s">
        <v>290</v>
      </c>
    </row>
    <row r="98" spans="1:26" ht="12.95" customHeight="1" x14ac:dyDescent="0.2">
      <c r="A98" s="176"/>
      <c r="S98" s="2"/>
      <c r="T98" s="2"/>
      <c r="U98" s="2"/>
    </row>
    <row r="99" spans="1:26" ht="12.95" customHeight="1" x14ac:dyDescent="0.2">
      <c r="A99" s="176"/>
      <c r="B99" s="5"/>
      <c r="C99" s="136" t="s">
        <v>291</v>
      </c>
      <c r="S99" s="2"/>
      <c r="T99" s="2"/>
      <c r="U99" s="2"/>
      <c r="X99" s="2" t="str">
        <f>X100&amp;X101&amp;X104&amp;X102</f>
        <v>160e: Le taux d'intérêt indiqué est très faible.</v>
      </c>
    </row>
    <row r="100" spans="1:26" ht="12.95" customHeight="1" x14ac:dyDescent="0.2">
      <c r="A100" s="184" t="s">
        <v>122</v>
      </c>
      <c r="C100" s="29" t="s">
        <v>280</v>
      </c>
      <c r="D100" s="221">
        <v>500000</v>
      </c>
      <c r="E100" s="1" t="s">
        <v>163</v>
      </c>
      <c r="F100" s="1">
        <f>IF(Gesamtinvestition&gt;0,ROUND(Eing_Kredit_2/Gesamtinvestition*100,0),"")</f>
        <v>16</v>
      </c>
      <c r="G100" s="1" t="s">
        <v>165</v>
      </c>
      <c r="I100" s="1" t="s">
        <v>277</v>
      </c>
      <c r="O100" s="123"/>
      <c r="Q100" s="123"/>
      <c r="S100" s="2">
        <v>0</v>
      </c>
      <c r="T100" s="2">
        <f>Gesamtinvestition</f>
        <v>3060000</v>
      </c>
      <c r="U100" s="2">
        <f>IF($D100&lt;S100,1,0)</f>
        <v>0</v>
      </c>
      <c r="V100" s="2">
        <f>IF($D100&gt;T100,1,0)</f>
        <v>0</v>
      </c>
      <c r="X100" s="2" t="str">
        <f>IF(U100&gt;0,Y100,"")&amp;IF(V100&gt;0,Z100,"")&amp;IF(W100&gt;0,AA100,"")</f>
        <v/>
      </c>
      <c r="Y100" s="354" t="s">
        <v>292</v>
      </c>
      <c r="Z100" s="354" t="s">
        <v>281</v>
      </c>
    </row>
    <row r="101" spans="1:26" ht="12.95" customHeight="1" x14ac:dyDescent="0.2">
      <c r="A101" s="184" t="s">
        <v>123</v>
      </c>
      <c r="C101" s="29" t="s">
        <v>282</v>
      </c>
      <c r="D101" s="221"/>
      <c r="E101" s="1" t="s">
        <v>257</v>
      </c>
      <c r="O101" s="123"/>
      <c r="Q101" s="123"/>
      <c r="S101" s="2">
        <v>0</v>
      </c>
      <c r="T101" s="2">
        <v>25</v>
      </c>
      <c r="U101" s="2">
        <f>IF($D101&lt;S101,Eing_Kredit_2,0)</f>
        <v>0</v>
      </c>
      <c r="V101" s="2">
        <f>IF($D101&gt;T101,Eing_Kredit_2,0)</f>
        <v>0</v>
      </c>
      <c r="X101" s="2" t="str">
        <f>IF(U101&gt;0,Y101,"")&amp;IF(V101&gt;0,Z101,"")&amp;IF(W101&gt;0,AA101,"")</f>
        <v/>
      </c>
      <c r="Y101" s="354" t="s">
        <v>283</v>
      </c>
      <c r="Z101" s="354" t="s">
        <v>284</v>
      </c>
    </row>
    <row r="102" spans="1:26" ht="12.95" customHeight="1" x14ac:dyDescent="0.2">
      <c r="A102" s="184" t="s">
        <v>124</v>
      </c>
      <c r="C102" s="29" t="s">
        <v>285</v>
      </c>
      <c r="D102" s="219">
        <v>2024</v>
      </c>
      <c r="O102" s="123"/>
      <c r="Q102" s="123"/>
      <c r="S102" s="2">
        <f>Eing_Beginnjahr-1</f>
        <v>2023</v>
      </c>
      <c r="T102" s="2">
        <f>S102+20</f>
        <v>2043</v>
      </c>
      <c r="U102" s="2">
        <f>IF($D102&lt;=S102,Eing_Kredit_2,0)</f>
        <v>0</v>
      </c>
      <c r="V102" s="2">
        <f>IF($D102&gt;T102,Eing_Kredit_2,0)</f>
        <v>0</v>
      </c>
      <c r="X102" s="2" t="str">
        <f>IF(U102&gt;0,Y102,"")&amp;IF(V102&gt;0,Z102,"")&amp;IF(W102&gt;0,AA102,"")</f>
        <v/>
      </c>
      <c r="Y102" s="354" t="s">
        <v>286</v>
      </c>
      <c r="Z102" s="354" t="s">
        <v>287</v>
      </c>
    </row>
    <row r="103" spans="1:26" ht="12.95" customHeight="1" x14ac:dyDescent="0.2">
      <c r="A103" s="184" t="s">
        <v>208</v>
      </c>
      <c r="C103" s="183" t="s">
        <v>653</v>
      </c>
      <c r="D103" s="154">
        <f>Eing_Kreditstartjahr_2+1</f>
        <v>2025</v>
      </c>
      <c r="K103" s="173">
        <f>Eing_Kreditstartjahr_2+1</f>
        <v>2025</v>
      </c>
      <c r="O103" s="123"/>
      <c r="Q103" s="123"/>
      <c r="S103" s="2">
        <f>Eing_Kreditstartjahr_2-1</f>
        <v>2023</v>
      </c>
      <c r="T103" s="2">
        <f>Eing_Kreditstartjahr_2+5</f>
        <v>2029</v>
      </c>
      <c r="U103" s="2">
        <f>IF($D103&lt;=S103,Eing_Kredit_2,0)</f>
        <v>0</v>
      </c>
      <c r="V103" s="2">
        <f>IF($D103&gt;T103,Eing_Kredit_2,0)</f>
        <v>0</v>
      </c>
      <c r="X103" s="2" t="str">
        <f>IF(U103&gt;0,Y103,"")&amp;IF(V103&gt;0,Z103,"")&amp;IF(W103&gt;0,AA103,"")</f>
        <v/>
      </c>
      <c r="Y103" s="354" t="s">
        <v>874</v>
      </c>
      <c r="Z103" s="354" t="s">
        <v>875</v>
      </c>
    </row>
    <row r="104" spans="1:26" ht="12.95" customHeight="1" x14ac:dyDescent="0.2">
      <c r="A104" s="184" t="s">
        <v>178</v>
      </c>
      <c r="C104" s="29" t="s">
        <v>288</v>
      </c>
      <c r="D104" s="218">
        <v>1.5</v>
      </c>
      <c r="E104" s="1" t="s">
        <v>165</v>
      </c>
      <c r="O104" s="123"/>
      <c r="Q104" s="123"/>
      <c r="S104" s="2">
        <v>2</v>
      </c>
      <c r="T104" s="2">
        <v>10</v>
      </c>
      <c r="U104" s="2">
        <f>IF($D104&lt;=S104,Eing_Kredit_2,0)</f>
        <v>500000</v>
      </c>
      <c r="V104" s="2">
        <f>IF($D104&gt;T104,Eing_Kredit_2,0)</f>
        <v>0</v>
      </c>
      <c r="X104" s="2" t="str">
        <f>IF(U104&gt;0,Y104,"")&amp;IF(V104&gt;0,Z104,"")&amp;IF(W104&gt;0,AA104,"")</f>
        <v>160e: Le taux d'intérêt indiqué est très faible.</v>
      </c>
      <c r="Y104" s="354" t="s">
        <v>289</v>
      </c>
      <c r="Z104" s="354" t="s">
        <v>293</v>
      </c>
    </row>
    <row r="105" spans="1:26" ht="12.95" customHeight="1" x14ac:dyDescent="0.2">
      <c r="A105" s="176"/>
      <c r="S105" s="2"/>
      <c r="T105" s="2"/>
      <c r="U105" s="2"/>
    </row>
    <row r="106" spans="1:26" ht="12.95" customHeight="1" x14ac:dyDescent="0.2">
      <c r="A106" s="184">
        <v>165</v>
      </c>
      <c r="B106" s="5" t="s">
        <v>294</v>
      </c>
      <c r="S106" s="2"/>
      <c r="T106" s="2"/>
      <c r="U106" s="2"/>
    </row>
    <row r="107" spans="1:26" ht="12.95" customHeight="1" x14ac:dyDescent="0.2">
      <c r="A107" s="184">
        <v>166</v>
      </c>
      <c r="C107" s="25" t="s">
        <v>295</v>
      </c>
      <c r="S107" s="2"/>
      <c r="T107" s="2"/>
      <c r="U107" s="2"/>
    </row>
    <row r="108" spans="1:26" ht="12.95" customHeight="1" x14ac:dyDescent="0.2">
      <c r="A108" s="184" t="s">
        <v>122</v>
      </c>
      <c r="C108" s="29" t="s">
        <v>296</v>
      </c>
      <c r="D108" s="221">
        <v>300000</v>
      </c>
      <c r="E108" s="1" t="s">
        <v>163</v>
      </c>
      <c r="F108" s="1">
        <f>IF(Gesamtinvestition&gt;0,ROUND(Einmaliger_Förderbeitrag_1/Gesamtinvestition*100,0),"")</f>
        <v>10</v>
      </c>
      <c r="G108" s="1" t="s">
        <v>165</v>
      </c>
      <c r="I108" s="1" t="s">
        <v>277</v>
      </c>
      <c r="O108" s="123"/>
      <c r="Q108" s="123"/>
      <c r="S108" s="2">
        <v>0</v>
      </c>
      <c r="T108" s="2">
        <f>Gesamtinvestition</f>
        <v>3060000</v>
      </c>
      <c r="U108" s="2">
        <f>IF($D108&lt;S108,1,0)</f>
        <v>0</v>
      </c>
      <c r="V108" s="2">
        <f>IF($D108&gt;T108,1,0)</f>
        <v>0</v>
      </c>
      <c r="X108" s="2" t="str">
        <f>IF(U108&gt;0,Y108,"")&amp;IF(V108&gt;0,Z108,"")&amp;IF(W108&gt;0,AA108,"")</f>
        <v/>
      </c>
      <c r="Y108" s="354" t="s">
        <v>297</v>
      </c>
      <c r="Z108" s="354" t="s">
        <v>298</v>
      </c>
    </row>
    <row r="109" spans="1:26" ht="12.95" customHeight="1" x14ac:dyDescent="0.2">
      <c r="A109" s="184" t="s">
        <v>123</v>
      </c>
      <c r="C109" s="29" t="s">
        <v>299</v>
      </c>
      <c r="D109" s="219">
        <v>2026</v>
      </c>
      <c r="O109" s="123"/>
      <c r="Q109" s="123"/>
      <c r="S109" s="2">
        <f>Eing_Beginnjahr</f>
        <v>2024</v>
      </c>
      <c r="T109" s="2">
        <f>S109+10</f>
        <v>2034</v>
      </c>
      <c r="U109" s="2">
        <f>IF($D109&lt;S109,Einmaliger_Förderbeitrag_1,0)</f>
        <v>0</v>
      </c>
      <c r="V109" s="2">
        <f>IF($D109&gt;T109,Einmaliger_Förderbeitrag_1,0)</f>
        <v>0</v>
      </c>
      <c r="X109" s="2" t="str">
        <f>IF(U109&gt;0,Y109,"")&amp;IF(V109&gt;0,Z109,"")&amp;IF(W109&gt;0,AA109,"")</f>
        <v/>
      </c>
      <c r="Y109" s="354" t="s">
        <v>300</v>
      </c>
      <c r="Z109" s="354" t="s">
        <v>301</v>
      </c>
    </row>
    <row r="110" spans="1:26" ht="12.95" customHeight="1" x14ac:dyDescent="0.2">
      <c r="A110" s="184" t="s">
        <v>122</v>
      </c>
      <c r="B110" s="5"/>
      <c r="C110" s="29" t="s">
        <v>302</v>
      </c>
      <c r="D110" s="221"/>
      <c r="E110" s="1" t="s">
        <v>163</v>
      </c>
      <c r="F110" s="1">
        <f>IF(Gesamtinvestition&gt;0,ROUND(Einmaliger_Förderbeitrag_2/Gesamtinvestition*100,0),"")</f>
        <v>0</v>
      </c>
      <c r="G110" s="1" t="s">
        <v>165</v>
      </c>
      <c r="I110" s="1" t="s">
        <v>277</v>
      </c>
      <c r="O110" s="123"/>
      <c r="Q110" s="123"/>
      <c r="S110" s="2">
        <v>0</v>
      </c>
      <c r="T110" s="2">
        <f>Gesamtinvestition</f>
        <v>3060000</v>
      </c>
      <c r="U110" s="2">
        <f>IF($D110&lt;S110,1,0)</f>
        <v>0</v>
      </c>
      <c r="V110" s="2">
        <f>IF($D110&gt;T110,1,0)</f>
        <v>0</v>
      </c>
      <c r="X110" s="2" t="str">
        <f>IF(U110&gt;0,Y110,"")&amp;IF(V110&gt;0,Z110,"")&amp;IF(W110&gt;0,AA110,"")</f>
        <v/>
      </c>
      <c r="Y110" s="354" t="s">
        <v>303</v>
      </c>
      <c r="Z110" s="354" t="s">
        <v>304</v>
      </c>
    </row>
    <row r="111" spans="1:26" ht="12.95" customHeight="1" x14ac:dyDescent="0.2">
      <c r="A111" s="184" t="s">
        <v>123</v>
      </c>
      <c r="C111" s="29" t="s">
        <v>299</v>
      </c>
      <c r="D111" s="219"/>
      <c r="O111" s="123"/>
      <c r="Q111" s="123"/>
      <c r="S111" s="2">
        <f>Eing_Beginnjahr</f>
        <v>2024</v>
      </c>
      <c r="T111" s="2">
        <f>S111+10</f>
        <v>2034</v>
      </c>
      <c r="U111" s="2">
        <f>IF($D111&lt;S111,Einmaliger_Förderbeitrag_2,0)</f>
        <v>0</v>
      </c>
      <c r="V111" s="2">
        <f>IF($D111&gt;T111,Einmaliger_Förderbeitrag_2,0)</f>
        <v>0</v>
      </c>
      <c r="X111" s="2" t="str">
        <f>IF(U111&gt;0,Y111,"")&amp;IF(V111&gt;0,Z111,"")&amp;IF(W111&gt;0,AA111,"")</f>
        <v/>
      </c>
      <c r="Y111" s="354" t="s">
        <v>305</v>
      </c>
      <c r="Z111" s="354" t="s">
        <v>306</v>
      </c>
    </row>
    <row r="112" spans="1:26" ht="12.95" customHeight="1" x14ac:dyDescent="0.2">
      <c r="A112" s="184" t="s">
        <v>122</v>
      </c>
      <c r="B112" s="5"/>
      <c r="C112" s="29" t="s">
        <v>307</v>
      </c>
      <c r="D112" s="221"/>
      <c r="E112" s="1" t="s">
        <v>163</v>
      </c>
      <c r="F112" s="1">
        <f>IF(Gesamtinvestition&gt;0,ROUND(Einmaliger_Förderbeitrag_3/Gesamtinvestition*100,0),"")</f>
        <v>0</v>
      </c>
      <c r="G112" s="1" t="s">
        <v>165</v>
      </c>
      <c r="I112" s="1" t="s">
        <v>277</v>
      </c>
      <c r="O112" s="123"/>
      <c r="Q112" s="123"/>
      <c r="S112" s="2">
        <v>0</v>
      </c>
      <c r="T112" s="2">
        <f>Gesamtinvestition</f>
        <v>3060000</v>
      </c>
      <c r="U112" s="2">
        <f>IF($D112&lt;S112,1,0)</f>
        <v>0</v>
      </c>
      <c r="V112" s="2">
        <f>IF($D112&gt;T112,1,0)</f>
        <v>0</v>
      </c>
      <c r="X112" s="2" t="str">
        <f t="shared" ref="X112:X113" si="28">IF(U112&gt;0,Y112,"")&amp;IF(V112&gt;0,Z112,"")&amp;IF(W112&gt;0,AA112,"")</f>
        <v/>
      </c>
      <c r="Y112" s="354" t="s">
        <v>308</v>
      </c>
      <c r="Z112" s="354" t="s">
        <v>309</v>
      </c>
    </row>
    <row r="113" spans="1:38" ht="12.95" customHeight="1" x14ac:dyDescent="0.2">
      <c r="A113" s="184" t="s">
        <v>123</v>
      </c>
      <c r="C113" s="29" t="s">
        <v>299</v>
      </c>
      <c r="D113" s="219"/>
      <c r="O113" s="123"/>
      <c r="Q113" s="123"/>
      <c r="S113" s="2">
        <f>Eing_Beginnjahr</f>
        <v>2024</v>
      </c>
      <c r="T113" s="2">
        <f>S113+10</f>
        <v>2034</v>
      </c>
      <c r="U113" s="2">
        <f>IF($D113&lt;S113,Einmaliger_Förderbeitrag_3,0)</f>
        <v>0</v>
      </c>
      <c r="V113" s="2">
        <f>IF($D113&gt;T113,Einmaliger_Förderbeitrag_3,0)</f>
        <v>0</v>
      </c>
      <c r="X113" s="2" t="str">
        <f t="shared" si="28"/>
        <v/>
      </c>
      <c r="Y113" s="354" t="s">
        <v>310</v>
      </c>
      <c r="Z113" s="354" t="s">
        <v>311</v>
      </c>
    </row>
    <row r="114" spans="1:38" ht="12.95" customHeight="1" x14ac:dyDescent="0.2">
      <c r="A114" s="184">
        <v>167</v>
      </c>
      <c r="C114" s="25" t="s">
        <v>312</v>
      </c>
      <c r="D114" s="4"/>
      <c r="S114" s="2"/>
      <c r="T114" s="2"/>
      <c r="U114" s="2"/>
    </row>
    <row r="115" spans="1:38" ht="12.95" customHeight="1" x14ac:dyDescent="0.2">
      <c r="A115" s="184" t="s">
        <v>122</v>
      </c>
      <c r="C115" s="29" t="s">
        <v>313</v>
      </c>
      <c r="D115" s="221"/>
      <c r="E115" s="1" t="s">
        <v>314</v>
      </c>
      <c r="F115" s="1">
        <f>IF(Gesamtinvestition&gt;0,ROUND(Eing_jährlicher_Förderbeitrag_1*Eing_Förderung_wiederholend_Laufzeit_1/Gesamtinvestition*100,0),"")</f>
        <v>0</v>
      </c>
      <c r="G115" s="1" t="s">
        <v>165</v>
      </c>
      <c r="I115" s="1" t="s">
        <v>277</v>
      </c>
      <c r="O115" s="123"/>
      <c r="Q115" s="123"/>
      <c r="S115" s="2">
        <v>0</v>
      </c>
      <c r="T115" s="2">
        <f>IF(Eing_Förderung_wiederholend_Laufzeit_1=0,0,Gesamtinvestition/Eing_Förderung_wiederholend_Laufzeit_1)</f>
        <v>0</v>
      </c>
      <c r="U115" s="2">
        <f>IF($D115&lt;S115,1,0)</f>
        <v>0</v>
      </c>
      <c r="V115" s="2">
        <f>IF($D115&gt;T115,1,0)</f>
        <v>0</v>
      </c>
      <c r="X115" s="2" t="str">
        <f>IF(U115&gt;0,Y115,"")&amp;IF(V115&gt;0,Z115,"")&amp;IF(W115&gt;0,AA115,"")</f>
        <v/>
      </c>
      <c r="Y115" s="354" t="s">
        <v>315</v>
      </c>
      <c r="Z115" s="354" t="s">
        <v>316</v>
      </c>
    </row>
    <row r="116" spans="1:38" ht="12.95" customHeight="1" x14ac:dyDescent="0.2">
      <c r="A116" s="184" t="s">
        <v>123</v>
      </c>
      <c r="C116" s="29" t="s">
        <v>317</v>
      </c>
      <c r="D116" s="221"/>
      <c r="E116" s="1" t="s">
        <v>122</v>
      </c>
      <c r="O116" s="123"/>
      <c r="Q116" s="123"/>
      <c r="S116" s="2">
        <v>2</v>
      </c>
      <c r="T116" s="2">
        <v>25</v>
      </c>
      <c r="U116" s="2">
        <f>IF(0&lt;$D116&lt;S116,1,0)</f>
        <v>0</v>
      </c>
      <c r="V116" s="2">
        <f>IF($D116&gt;T116,1,0)</f>
        <v>0</v>
      </c>
      <c r="X116" s="2" t="str">
        <f>IF(U116&gt;0,Y116,"")&amp;IF(V116&gt;0,Z116,"")&amp;IF(W116&gt;0,AA116,"")</f>
        <v/>
      </c>
      <c r="Y116" s="354" t="s">
        <v>318</v>
      </c>
      <c r="Z116" s="354" t="s">
        <v>319</v>
      </c>
    </row>
    <row r="117" spans="1:38" ht="12.95" customHeight="1" x14ac:dyDescent="0.2">
      <c r="A117" s="184" t="s">
        <v>124</v>
      </c>
      <c r="C117" s="29" t="s">
        <v>320</v>
      </c>
      <c r="D117" s="219"/>
      <c r="O117" s="123"/>
      <c r="Q117" s="123"/>
      <c r="S117" s="2">
        <f>Eing_Beginnjahr</f>
        <v>2024</v>
      </c>
      <c r="T117" s="2">
        <f>S117+10</f>
        <v>2034</v>
      </c>
      <c r="U117" s="2">
        <f>IF($D117&lt;S117,Eing_jährlicher_Förderbeitrag_1,0)</f>
        <v>0</v>
      </c>
      <c r="V117" s="2">
        <f>IF($D117&gt;T117,1,0)</f>
        <v>0</v>
      </c>
      <c r="X117" s="2" t="str">
        <f>IF(U117&gt;0,Y117,"")&amp;IF(V117&gt;0,Z117,"")&amp;IF(W117&gt;0,AA117,"")</f>
        <v/>
      </c>
      <c r="Y117" s="354" t="s">
        <v>321</v>
      </c>
      <c r="Z117" s="354" t="s">
        <v>322</v>
      </c>
    </row>
    <row r="118" spans="1:38" ht="12.95" customHeight="1" x14ac:dyDescent="0.2">
      <c r="A118" s="184" t="s">
        <v>122</v>
      </c>
      <c r="C118" s="29" t="s">
        <v>323</v>
      </c>
      <c r="D118" s="221"/>
      <c r="E118" s="1" t="s">
        <v>314</v>
      </c>
      <c r="F118" s="1">
        <f>IF(Gesamtinvestition&gt;0,ROUND(Eing_jährlicher_Förderbeitrag_2*Eing_Förderung_wiederholend_Laufzeit_2/Gesamtinvestition*100,0),"")</f>
        <v>0</v>
      </c>
      <c r="G118" s="1" t="s">
        <v>165</v>
      </c>
      <c r="I118" s="1" t="s">
        <v>277</v>
      </c>
      <c r="O118" s="123"/>
      <c r="Q118" s="123"/>
      <c r="S118" s="2">
        <v>0</v>
      </c>
      <c r="T118" s="2">
        <f>IF(Eing_Förderung_wiederholend_Laufzeit_2=0,0,Gesamtinvestition/Eing_Förderung_wiederholend_Laufzeit_2)</f>
        <v>0</v>
      </c>
      <c r="U118" s="2">
        <f>IF($D118&lt;S118,1,0)</f>
        <v>0</v>
      </c>
      <c r="V118" s="2">
        <f t="shared" ref="V118:V120" si="29">IF($D118&gt;T118,1,0)</f>
        <v>0</v>
      </c>
      <c r="X118" s="2" t="str">
        <f t="shared" ref="X118:X120" si="30">IF(U118&gt;0,Y118,"")&amp;IF(V118&gt;0,Z118,"")&amp;IF(W118&gt;0,AA118,"")</f>
        <v/>
      </c>
      <c r="Y118" s="354" t="s">
        <v>324</v>
      </c>
      <c r="Z118" s="354" t="s">
        <v>316</v>
      </c>
    </row>
    <row r="119" spans="1:38" ht="12.95" customHeight="1" x14ac:dyDescent="0.2">
      <c r="A119" s="184" t="s">
        <v>123</v>
      </c>
      <c r="C119" s="29" t="s">
        <v>325</v>
      </c>
      <c r="D119" s="221"/>
      <c r="E119" s="1" t="s">
        <v>122</v>
      </c>
      <c r="O119" s="123"/>
      <c r="Q119" s="123"/>
      <c r="S119" s="2">
        <v>2</v>
      </c>
      <c r="T119" s="2">
        <v>25</v>
      </c>
      <c r="U119" s="2">
        <f>IF(0&lt;$D119&lt;S119,1,0)</f>
        <v>0</v>
      </c>
      <c r="V119" s="2">
        <f t="shared" si="29"/>
        <v>0</v>
      </c>
      <c r="X119" s="2" t="str">
        <f t="shared" si="30"/>
        <v/>
      </c>
      <c r="Y119" s="354" t="s">
        <v>326</v>
      </c>
      <c r="Z119" s="354" t="s">
        <v>327</v>
      </c>
    </row>
    <row r="120" spans="1:38" ht="12.95" customHeight="1" x14ac:dyDescent="0.2">
      <c r="A120" s="184" t="s">
        <v>124</v>
      </c>
      <c r="C120" s="29" t="s">
        <v>328</v>
      </c>
      <c r="D120" s="219"/>
      <c r="O120" s="123"/>
      <c r="Q120" s="123"/>
      <c r="S120" s="2">
        <f>Eing_Beginnjahr</f>
        <v>2024</v>
      </c>
      <c r="T120" s="2">
        <f>S120+10</f>
        <v>2034</v>
      </c>
      <c r="U120" s="2">
        <f>IF($D120&lt;S120,Eing_jährlicher_Förderbeitrag_2,0)</f>
        <v>0</v>
      </c>
      <c r="V120" s="2">
        <f t="shared" si="29"/>
        <v>0</v>
      </c>
      <c r="X120" s="2" t="str">
        <f t="shared" si="30"/>
        <v/>
      </c>
      <c r="Y120" s="354" t="s">
        <v>329</v>
      </c>
      <c r="Z120" s="354" t="s">
        <v>330</v>
      </c>
    </row>
    <row r="121" spans="1:38" ht="12.95" customHeight="1" x14ac:dyDescent="0.2">
      <c r="A121" s="176"/>
      <c r="C121" s="29"/>
      <c r="S121" s="2"/>
      <c r="T121" s="2"/>
      <c r="U121" s="2"/>
    </row>
    <row r="122" spans="1:38" ht="12.95" customHeight="1" x14ac:dyDescent="0.2">
      <c r="A122" s="184">
        <v>170</v>
      </c>
      <c r="B122" s="5" t="s">
        <v>674</v>
      </c>
      <c r="C122" s="47"/>
      <c r="S122" s="2"/>
      <c r="T122" s="2"/>
      <c r="U122" s="2"/>
    </row>
    <row r="123" spans="1:38" ht="12.95" customHeight="1" x14ac:dyDescent="0.2">
      <c r="A123" s="184" t="s">
        <v>122</v>
      </c>
      <c r="C123" s="31" t="s">
        <v>654</v>
      </c>
      <c r="D123" s="6">
        <f>AVERAGE(B1_Calculs!C44:C68)</f>
        <v>2045.4301139024847</v>
      </c>
      <c r="E123" s="1" t="s">
        <v>194</v>
      </c>
      <c r="O123" s="123"/>
      <c r="Q123" s="123"/>
      <c r="S123" s="2"/>
      <c r="T123" s="2"/>
      <c r="U123" s="2"/>
    </row>
    <row r="124" spans="1:38" ht="12.95" customHeight="1" x14ac:dyDescent="0.2">
      <c r="A124" s="184" t="s">
        <v>123</v>
      </c>
      <c r="C124" s="31" t="s">
        <v>655</v>
      </c>
      <c r="D124" s="6">
        <f>mittl_Erzeugte_Wärmemenge*Eing_Anteil_Biomasse/100</f>
        <v>1493.1639831488137</v>
      </c>
      <c r="E124" s="1" t="s">
        <v>194</v>
      </c>
      <c r="O124" s="123"/>
      <c r="Q124" s="123"/>
      <c r="S124" s="2"/>
      <c r="T124" s="2"/>
      <c r="U124" s="2"/>
    </row>
    <row r="125" spans="1:38" s="157" customFormat="1" ht="12.95" customHeight="1" x14ac:dyDescent="0.2">
      <c r="A125" s="184" t="s">
        <v>124</v>
      </c>
      <c r="C125" s="31" t="s">
        <v>656</v>
      </c>
      <c r="D125" s="6">
        <f>IF(Eing_Anteil_Kondensation=0,0,mittl_Erzeugte_Wärmemenge*(Eing_Anteil_Kondensation/100))</f>
        <v>143.18010797317393</v>
      </c>
      <c r="E125" s="1" t="s">
        <v>194</v>
      </c>
      <c r="O125" s="159"/>
      <c r="Q125" s="159"/>
      <c r="Y125" s="354"/>
      <c r="Z125" s="354"/>
      <c r="AA125" s="354"/>
      <c r="AB125" s="354"/>
      <c r="AC125" s="354"/>
      <c r="AD125" s="354"/>
      <c r="AE125" s="354"/>
      <c r="AF125" s="354"/>
      <c r="AG125" s="354"/>
      <c r="AH125" s="354"/>
      <c r="AI125" s="354"/>
      <c r="AJ125" s="354"/>
      <c r="AK125" s="354"/>
      <c r="AL125" s="354"/>
    </row>
    <row r="126" spans="1:38" s="157" customFormat="1" ht="12.95" customHeight="1" x14ac:dyDescent="0.2">
      <c r="A126" s="184" t="s">
        <v>208</v>
      </c>
      <c r="C126" s="31" t="s">
        <v>657</v>
      </c>
      <c r="D126" s="6">
        <f>IF(Eing_Anteil_WKK=0,0,mittl_Erzeugte_Wärmemenge*(Eing_Anteil_WKK/100)/(Eing_Jahresnutzungsgrad_WKKtherm/100))</f>
        <v>0</v>
      </c>
      <c r="E126" s="1" t="s">
        <v>194</v>
      </c>
      <c r="F126" s="1" t="s">
        <v>658</v>
      </c>
      <c r="O126" s="159"/>
      <c r="Q126" s="159"/>
      <c r="Y126" s="354"/>
      <c r="Z126" s="354"/>
      <c r="AA126" s="354"/>
      <c r="AB126" s="354"/>
      <c r="AC126" s="354"/>
      <c r="AD126" s="354"/>
      <c r="AE126" s="354"/>
      <c r="AF126" s="354"/>
      <c r="AG126" s="354"/>
      <c r="AH126" s="354"/>
      <c r="AI126" s="354"/>
      <c r="AJ126" s="354"/>
      <c r="AK126" s="354"/>
      <c r="AL126" s="354"/>
    </row>
    <row r="127" spans="1:38" s="157" customFormat="1" ht="12.95" customHeight="1" x14ac:dyDescent="0.2">
      <c r="A127" s="184" t="s">
        <v>178</v>
      </c>
      <c r="C127" s="31" t="s">
        <v>659</v>
      </c>
      <c r="D127" s="6">
        <f>IF(Eing_Anteil_WP=0,0,mittl_Erzeugte_Wärmemenge*Eing_Anteil_WP/100)</f>
        <v>409.08602278049693</v>
      </c>
      <c r="E127" s="1" t="s">
        <v>194</v>
      </c>
      <c r="F127" s="1"/>
      <c r="O127" s="159"/>
      <c r="Q127" s="159"/>
      <c r="Y127" s="354"/>
      <c r="Z127" s="354"/>
      <c r="AA127" s="354"/>
      <c r="AB127" s="354"/>
      <c r="AC127" s="354"/>
      <c r="AD127" s="354"/>
      <c r="AE127" s="354"/>
      <c r="AF127" s="354"/>
      <c r="AG127" s="354"/>
      <c r="AH127" s="354"/>
      <c r="AI127" s="354"/>
      <c r="AJ127" s="354"/>
      <c r="AK127" s="354"/>
      <c r="AL127" s="354"/>
    </row>
    <row r="128" spans="1:38" s="157" customFormat="1" ht="12.95" customHeight="1" x14ac:dyDescent="0.2">
      <c r="A128" s="184" t="s">
        <v>209</v>
      </c>
      <c r="C128" s="31" t="s">
        <v>660</v>
      </c>
      <c r="D128" s="6" cm="1">
        <f t="array" ref="D128">IF(Eing_Anteil_Zusatz=0,0,mittl_Erzeugte_Wärmemenge*(Eing_Anteil_Zusatz/100)/(Eing_Jahresnutzungsgrad_Zusatz/100))</f>
        <v>0</v>
      </c>
      <c r="E128" s="1" t="s">
        <v>194</v>
      </c>
      <c r="F128" s="1" t="s">
        <v>658</v>
      </c>
      <c r="O128" s="159"/>
      <c r="Q128" s="159"/>
      <c r="Y128" s="354"/>
      <c r="Z128" s="354"/>
      <c r="AA128" s="354"/>
      <c r="AB128" s="354"/>
      <c r="AC128" s="354"/>
      <c r="AD128" s="354"/>
      <c r="AE128" s="354"/>
      <c r="AF128" s="354"/>
      <c r="AG128" s="354"/>
      <c r="AH128" s="354"/>
      <c r="AI128" s="354"/>
      <c r="AJ128" s="354"/>
      <c r="AK128" s="354"/>
      <c r="AL128" s="354"/>
    </row>
    <row r="129" spans="1:38" s="157" customFormat="1" ht="12.95" customHeight="1" x14ac:dyDescent="0.2">
      <c r="A129" s="184" t="s">
        <v>200</v>
      </c>
      <c r="C129" s="31" t="s">
        <v>661</v>
      </c>
      <c r="D129" s="6">
        <f>IF(Eing_Anteil_AWN=0,0,mittl_Erzeugte_Wärmemenge*Eing_Anteil_AWN/100)</f>
        <v>0</v>
      </c>
      <c r="E129" s="1" t="s">
        <v>194</v>
      </c>
      <c r="F129" s="1"/>
      <c r="O129" s="159"/>
      <c r="Q129" s="159"/>
      <c r="Y129" s="354"/>
      <c r="Z129" s="354"/>
      <c r="AA129" s="354"/>
      <c r="AB129" s="354"/>
      <c r="AC129" s="354"/>
      <c r="AD129" s="354"/>
      <c r="AE129" s="354"/>
      <c r="AF129" s="354"/>
      <c r="AG129" s="354"/>
      <c r="AH129" s="354"/>
      <c r="AI129" s="354"/>
      <c r="AJ129" s="354"/>
      <c r="AK129" s="354"/>
      <c r="AL129" s="354"/>
    </row>
    <row r="130" spans="1:38" ht="12.95" customHeight="1" x14ac:dyDescent="0.2">
      <c r="A130" s="184" t="s">
        <v>204</v>
      </c>
      <c r="C130" s="31" t="s">
        <v>662</v>
      </c>
      <c r="D130" s="6">
        <f>IF(Eing_Jahresnutzungsgrad_Kessel=0,0,mittl_Erzeugte_Wärmemenge*(Anteil_fossil_erzeugt/100)/Eing_Jahresnutzungsgrad_Kessel*100)</f>
        <v>0</v>
      </c>
      <c r="E130" s="1" t="s">
        <v>194</v>
      </c>
      <c r="F130" s="1" t="s">
        <v>658</v>
      </c>
      <c r="O130" s="123"/>
      <c r="Q130" s="123"/>
    </row>
    <row r="131" spans="1:38" ht="12.95" customHeight="1" x14ac:dyDescent="0.2">
      <c r="A131" s="184" t="s">
        <v>258</v>
      </c>
      <c r="B131" s="157"/>
      <c r="C131" s="31" t="s">
        <v>664</v>
      </c>
      <c r="D131" s="6">
        <f>IF(Eing_Anteil_WKK=0,0,Wärme_WKK*Eing_Jahresnutzungsgrad_WKKel/100)</f>
        <v>0</v>
      </c>
      <c r="E131" s="1" t="s">
        <v>194</v>
      </c>
      <c r="O131" s="123"/>
      <c r="Q131" s="123"/>
    </row>
    <row r="132" spans="1:38" ht="12.95" customHeight="1" x14ac:dyDescent="0.2">
      <c r="A132" s="184" t="s">
        <v>233</v>
      </c>
      <c r="B132" s="157"/>
      <c r="C132" s="31" t="s">
        <v>665</v>
      </c>
      <c r="D132" s="6">
        <f>IF(Eing_AnteilEigen_WP=0,0,MIN(Stromproduktion_WKK,(Eing_AnteilEigen_WP/100)*(mittl_Erzeugte_Wärmemenge*(Eing_Anteil_WP/100)/Eing_JAZ_WP)))</f>
        <v>0</v>
      </c>
      <c r="E132" s="1" t="s">
        <v>194</v>
      </c>
      <c r="O132" s="123"/>
      <c r="Q132" s="123"/>
    </row>
    <row r="133" spans="1:38" ht="12.95" customHeight="1" x14ac:dyDescent="0.2">
      <c r="A133" s="184" t="s">
        <v>233</v>
      </c>
      <c r="B133" s="157"/>
      <c r="C133" s="31" t="s">
        <v>666</v>
      </c>
      <c r="D133" s="6">
        <f>IF(Eing_AnteilEigen_Hilfsenergie=0,0,MIN(Stromproduktion_WKK-D132,(Eing_AnteilEigen_Hilfsenergie/100)*(mittl_Erzeugte_Wärmemenge*Eing_Spez_Stromverbrauch/100)))</f>
        <v>0</v>
      </c>
      <c r="E133" s="1" t="s">
        <v>194</v>
      </c>
      <c r="O133" s="123"/>
      <c r="Q133" s="123"/>
    </row>
    <row r="134" spans="1:38" s="157" customFormat="1" ht="12.95" customHeight="1" x14ac:dyDescent="0.2">
      <c r="A134" s="184" t="s">
        <v>260</v>
      </c>
      <c r="C134" s="31" t="s">
        <v>668</v>
      </c>
      <c r="D134" s="6">
        <f>IF(Eing_Anteil_WP=0,0,(mittl_Erzeugte_Wärmemenge*(Eing_Anteil_WP/100)/Eing_JAZ_WP)-D132)</f>
        <v>107.65421652118341</v>
      </c>
      <c r="E134" s="1" t="s">
        <v>194</v>
      </c>
      <c r="O134" s="159"/>
      <c r="Q134" s="159"/>
      <c r="Y134" s="354"/>
      <c r="Z134" s="354"/>
      <c r="AA134" s="354"/>
      <c r="AB134" s="354"/>
      <c r="AC134" s="354"/>
      <c r="AD134" s="354"/>
      <c r="AE134" s="354"/>
      <c r="AF134" s="354"/>
      <c r="AG134" s="354"/>
      <c r="AH134" s="354"/>
      <c r="AI134" s="354"/>
      <c r="AJ134" s="354"/>
      <c r="AK134" s="354"/>
      <c r="AL134" s="354"/>
    </row>
    <row r="135" spans="1:38" ht="12.95" customHeight="1" x14ac:dyDescent="0.2">
      <c r="A135" s="184" t="s">
        <v>211</v>
      </c>
      <c r="C135" s="31" t="s">
        <v>667</v>
      </c>
      <c r="D135" s="6">
        <f>(mittl_Erzeugte_Wärmemenge*Eing_Spez_Stromverbrauch/100)-Eigenverbrauch_HE</f>
        <v>40.908602278049692</v>
      </c>
      <c r="E135" s="1" t="s">
        <v>194</v>
      </c>
      <c r="O135" s="123"/>
      <c r="Q135" s="123"/>
    </row>
    <row r="136" spans="1:38" ht="12.95" customHeight="1" x14ac:dyDescent="0.2">
      <c r="A136" s="184" t="s">
        <v>212</v>
      </c>
      <c r="B136" s="157"/>
      <c r="C136" s="31" t="s">
        <v>670</v>
      </c>
      <c r="D136" s="6">
        <f>IF(Eing_Anteil_WKK=0,0,Stromproduktion_WKK-SUM(Eigenverbrauch_HE,Eigenverbrauch_WP))</f>
        <v>0</v>
      </c>
      <c r="E136" s="1" t="s">
        <v>194</v>
      </c>
      <c r="O136" s="123"/>
      <c r="Q136" s="123"/>
    </row>
    <row r="137" spans="1:38" ht="12.95" customHeight="1" x14ac:dyDescent="0.2">
      <c r="A137" s="184" t="s">
        <v>213</v>
      </c>
      <c r="B137" s="157"/>
      <c r="C137" s="31" t="s">
        <v>671</v>
      </c>
      <c r="D137" s="6">
        <f>Eing_Prod_Pflanzenkohle</f>
        <v>0</v>
      </c>
      <c r="E137" s="1" t="str">
        <f>E41</f>
        <v>m³/an</v>
      </c>
      <c r="O137" s="123"/>
      <c r="Q137" s="123"/>
    </row>
    <row r="138" spans="1:38" ht="12.95" customHeight="1" x14ac:dyDescent="0.2">
      <c r="A138" s="177"/>
      <c r="B138" s="157"/>
      <c r="C138" s="158"/>
      <c r="D138" s="6"/>
      <c r="O138" s="123"/>
      <c r="Q138" s="123"/>
    </row>
    <row r="139" spans="1:38" ht="12.95" customHeight="1" x14ac:dyDescent="0.2">
      <c r="A139" s="184">
        <v>175</v>
      </c>
      <c r="B139" s="5" t="s">
        <v>675</v>
      </c>
      <c r="C139" s="158"/>
      <c r="D139" s="6"/>
    </row>
    <row r="140" spans="1:38" ht="12.95" customHeight="1" x14ac:dyDescent="0.2">
      <c r="A140" s="184" t="s">
        <v>122</v>
      </c>
      <c r="B140" s="157"/>
      <c r="C140" s="31" t="s">
        <v>676</v>
      </c>
      <c r="D140" s="6">
        <f>Nutzwärme_Biomasse*Eing_Rohstoffpreis_Biomasse</f>
        <v>82124.019073184754</v>
      </c>
      <c r="E140" s="1" t="s">
        <v>236</v>
      </c>
      <c r="O140" s="123"/>
      <c r="Q140" s="123"/>
    </row>
    <row r="141" spans="1:38" s="157" customFormat="1" ht="12.95" customHeight="1" x14ac:dyDescent="0.2">
      <c r="A141" s="184" t="s">
        <v>123</v>
      </c>
      <c r="C141" s="31" t="s">
        <v>678</v>
      </c>
      <c r="D141" s="6">
        <f>Wärme_WKK*Eing_Brennstoffpreis_WKK</f>
        <v>0</v>
      </c>
      <c r="E141" s="1" t="s">
        <v>236</v>
      </c>
      <c r="O141" s="159"/>
      <c r="Q141" s="159"/>
      <c r="Y141" s="354"/>
      <c r="Z141" s="354"/>
      <c r="AA141" s="354"/>
      <c r="AB141" s="354"/>
      <c r="AC141" s="354"/>
      <c r="AD141" s="354"/>
      <c r="AE141" s="354"/>
      <c r="AF141" s="354"/>
      <c r="AG141" s="354"/>
      <c r="AH141" s="354"/>
      <c r="AI141" s="354"/>
      <c r="AJ141" s="354"/>
      <c r="AK141" s="354"/>
      <c r="AL141" s="354"/>
    </row>
    <row r="142" spans="1:38" s="157" customFormat="1" ht="12.95" customHeight="1" x14ac:dyDescent="0.2">
      <c r="A142" s="184" t="s">
        <v>124</v>
      </c>
      <c r="C142" s="31" t="s">
        <v>679</v>
      </c>
      <c r="D142" s="6" cm="1">
        <f t="array" ref="D142">Eing_Preis_Zusatz*Endenergie_Zusatz</f>
        <v>0</v>
      </c>
      <c r="E142" s="1" t="s">
        <v>236</v>
      </c>
      <c r="O142" s="159"/>
      <c r="Q142" s="159"/>
      <c r="Y142" s="354"/>
      <c r="Z142" s="354"/>
      <c r="AA142" s="354"/>
      <c r="AB142" s="354"/>
      <c r="AC142" s="354"/>
      <c r="AD142" s="354"/>
      <c r="AE142" s="354"/>
      <c r="AF142" s="354"/>
      <c r="AG142" s="354"/>
      <c r="AH142" s="354"/>
      <c r="AI142" s="354"/>
      <c r="AJ142" s="354"/>
      <c r="AK142" s="354"/>
      <c r="AL142" s="354"/>
    </row>
    <row r="143" spans="1:38" s="157" customFormat="1" ht="12.95" customHeight="1" x14ac:dyDescent="0.2">
      <c r="A143" s="184" t="s">
        <v>208</v>
      </c>
      <c r="C143" s="31" t="s">
        <v>680</v>
      </c>
      <c r="D143" s="6">
        <f>Eing_Preis_AWN*Nutzwärme_AWN</f>
        <v>0</v>
      </c>
      <c r="E143" s="1" t="s">
        <v>236</v>
      </c>
      <c r="O143" s="159"/>
      <c r="Q143" s="159"/>
      <c r="Y143" s="354"/>
      <c r="Z143" s="354"/>
      <c r="AA143" s="354"/>
      <c r="AB143" s="354"/>
      <c r="AC143" s="354"/>
      <c r="AD143" s="354"/>
      <c r="AE143" s="354"/>
      <c r="AF143" s="354"/>
      <c r="AG143" s="354"/>
      <c r="AH143" s="354"/>
      <c r="AI143" s="354"/>
      <c r="AJ143" s="354"/>
      <c r="AK143" s="354"/>
      <c r="AL143" s="354"/>
    </row>
    <row r="144" spans="1:38" ht="12.95" customHeight="1" x14ac:dyDescent="0.2">
      <c r="A144" s="184" t="s">
        <v>178</v>
      </c>
      <c r="B144" s="157"/>
      <c r="C144" s="31" t="s">
        <v>681</v>
      </c>
      <c r="D144" s="6" cm="1">
        <f t="array" ref="D144">Endenergie_fossil*Eing_Rohstoffpreis_fossil</f>
        <v>0</v>
      </c>
      <c r="E144" s="1" t="s">
        <v>236</v>
      </c>
      <c r="O144" s="123"/>
      <c r="Q144" s="123"/>
    </row>
    <row r="145" spans="1:38" s="157" customFormat="1" ht="12.95" customHeight="1" x14ac:dyDescent="0.2">
      <c r="A145" s="184" t="s">
        <v>209</v>
      </c>
      <c r="C145" s="31" t="s">
        <v>682</v>
      </c>
      <c r="D145" s="6">
        <f>Netzbezug_WP*Eing_Strompreis_WP*10</f>
        <v>26913.554130295852</v>
      </c>
      <c r="E145" s="1" t="s">
        <v>236</v>
      </c>
      <c r="O145" s="159"/>
      <c r="Q145" s="159"/>
      <c r="Y145" s="354"/>
      <c r="Z145" s="354"/>
      <c r="AA145" s="354"/>
      <c r="AB145" s="354"/>
      <c r="AC145" s="354"/>
      <c r="AD145" s="354"/>
      <c r="AE145" s="354"/>
      <c r="AF145" s="354"/>
      <c r="AG145" s="354"/>
      <c r="AH145" s="354"/>
      <c r="AI145" s="354"/>
      <c r="AJ145" s="354"/>
      <c r="AK145" s="354"/>
      <c r="AL145" s="354"/>
    </row>
    <row r="146" spans="1:38" ht="12.95" customHeight="1" x14ac:dyDescent="0.2">
      <c r="A146" s="178" t="s">
        <v>204</v>
      </c>
      <c r="B146" s="157"/>
      <c r="C146" s="31" t="s">
        <v>683</v>
      </c>
      <c r="D146" s="6">
        <f>Netzbezug_Hilfsenergie*Eing_Strompreis*10</f>
        <v>10227.150569512423</v>
      </c>
      <c r="E146" s="1" t="s">
        <v>236</v>
      </c>
      <c r="O146" s="123"/>
      <c r="Q146" s="123"/>
    </row>
    <row r="147" spans="1:38" ht="12.95" customHeight="1" x14ac:dyDescent="0.2">
      <c r="A147" s="184">
        <v>177</v>
      </c>
      <c r="B147" s="5" t="s">
        <v>684</v>
      </c>
      <c r="C147" s="158"/>
      <c r="D147" s="6"/>
    </row>
    <row r="148" spans="1:38" s="157" customFormat="1" ht="12.95" customHeight="1" x14ac:dyDescent="0.2">
      <c r="A148" s="184" t="s">
        <v>122</v>
      </c>
      <c r="C148" s="31" t="s">
        <v>685</v>
      </c>
      <c r="D148" s="6">
        <f>Stromeinspeisung_Netz*Eing_Strompreis_Einspeisung*10</f>
        <v>0</v>
      </c>
      <c r="E148" s="1" t="s">
        <v>236</v>
      </c>
      <c r="O148" s="159"/>
      <c r="Q148" s="159"/>
      <c r="Y148" s="354"/>
      <c r="Z148" s="354"/>
      <c r="AA148" s="354"/>
      <c r="AB148" s="354"/>
      <c r="AC148" s="354"/>
      <c r="AD148" s="354"/>
      <c r="AE148" s="354"/>
      <c r="AF148" s="354"/>
      <c r="AG148" s="354"/>
      <c r="AH148" s="354"/>
      <c r="AI148" s="354"/>
      <c r="AJ148" s="354"/>
      <c r="AK148" s="354"/>
      <c r="AL148" s="354"/>
    </row>
    <row r="149" spans="1:38" s="157" customFormat="1" ht="12.95" customHeight="1" x14ac:dyDescent="0.2">
      <c r="A149" s="184" t="s">
        <v>123</v>
      </c>
      <c r="C149" s="31" t="s">
        <v>687</v>
      </c>
      <c r="D149" s="6">
        <f>Produktion_Pflanzenkohle*Eing_Verkaufspreis_Pflanzenkohle</f>
        <v>0</v>
      </c>
      <c r="E149" s="1" t="s">
        <v>236</v>
      </c>
      <c r="O149" s="159"/>
      <c r="Q149" s="159"/>
      <c r="Y149" s="354"/>
      <c r="Z149" s="354"/>
      <c r="AA149" s="354"/>
      <c r="AB149" s="354"/>
      <c r="AC149" s="354"/>
      <c r="AD149" s="354"/>
      <c r="AE149" s="354"/>
      <c r="AF149" s="354"/>
      <c r="AG149" s="354"/>
      <c r="AH149" s="354"/>
      <c r="AI149" s="354"/>
      <c r="AJ149" s="354"/>
      <c r="AK149" s="354"/>
      <c r="AL149" s="354"/>
    </row>
    <row r="150" spans="1:38" ht="12.95" customHeight="1" x14ac:dyDescent="0.2">
      <c r="A150" s="176"/>
      <c r="C150" s="31"/>
      <c r="D150" s="224"/>
    </row>
    <row r="151" spans="1:38" ht="12.95" customHeight="1" x14ac:dyDescent="0.2">
      <c r="A151" s="184" t="s">
        <v>65</v>
      </c>
      <c r="C151" s="29" t="s">
        <v>332</v>
      </c>
      <c r="D151" s="6">
        <f>Gesamtinvestition</f>
        <v>3060000</v>
      </c>
      <c r="E151" s="1" t="s">
        <v>163</v>
      </c>
      <c r="O151" s="123"/>
      <c r="Q151" s="123"/>
    </row>
    <row r="152" spans="1:38" ht="12.95" customHeight="1" x14ac:dyDescent="0.2">
      <c r="A152" s="184">
        <v>179</v>
      </c>
      <c r="C152" s="31" t="s">
        <v>333</v>
      </c>
      <c r="D152" s="6">
        <f>SUM(Einmaliger_Förderbeitrag_1,Einmaliger_Förderbeitrag_2,Einmaliger_Förderbeitrag_3,(Eing_jährlicher_Förderbeitrag_1*Eing_Förderung_wiederholend_Laufzeit_1),(Eing_jährlicher_Förderbeitrag_2*Eing_Förderung_wiederholend_Laufzeit_2))</f>
        <v>300000</v>
      </c>
      <c r="E152" s="1" t="s">
        <v>163</v>
      </c>
      <c r="O152" s="123"/>
      <c r="Q152" s="123"/>
    </row>
    <row r="153" spans="1:38" ht="12.95" customHeight="1" x14ac:dyDescent="0.2"/>
    <row r="154" spans="1:38" ht="12.95" customHeight="1" x14ac:dyDescent="0.2">
      <c r="A154" s="178">
        <v>190</v>
      </c>
      <c r="B154" s="5" t="s">
        <v>527</v>
      </c>
      <c r="D154" s="137" t="s">
        <v>334</v>
      </c>
      <c r="F154" s="48" t="s">
        <v>528</v>
      </c>
    </row>
    <row r="155" spans="1:38" x14ac:dyDescent="0.2">
      <c r="A155" s="178" t="s">
        <v>122</v>
      </c>
      <c r="B155" s="1" t="s">
        <v>335</v>
      </c>
      <c r="C155" s="31" t="s">
        <v>336</v>
      </c>
      <c r="D155" s="6">
        <f>IF(SUM(AH68:AH76)=0,0,ROUND(SUM(AH68:AH76,0.5*AH80),0))</f>
        <v>87629</v>
      </c>
      <c r="E155" s="1" t="s">
        <v>236</v>
      </c>
      <c r="F155" s="207">
        <f t="shared" ref="F155:F163" si="31">IF(mittl_Erzeugte_Wärmemenge=0,0,ROUND(D155/mittl_Erzeugte_Wärmemenge/10,2))</f>
        <v>4.28</v>
      </c>
      <c r="G155" s="1" t="s">
        <v>337</v>
      </c>
      <c r="O155" s="123"/>
      <c r="Q155" s="123"/>
    </row>
    <row r="156" spans="1:38" x14ac:dyDescent="0.2">
      <c r="A156" s="178" t="s">
        <v>123</v>
      </c>
      <c r="C156" s="31" t="s">
        <v>338</v>
      </c>
      <c r="D156" s="6">
        <f>IF(SUM(AH77:AH79)=0,0,ROUND(SUM(AH77:AH79,0.5*AH80),0))</f>
        <v>56561</v>
      </c>
      <c r="E156" s="1" t="s">
        <v>236</v>
      </c>
      <c r="F156" s="207">
        <f t="shared" si="31"/>
        <v>2.77</v>
      </c>
      <c r="G156" s="1" t="s">
        <v>337</v>
      </c>
      <c r="O156" s="123"/>
      <c r="Q156" s="123"/>
    </row>
    <row r="157" spans="1:38" x14ac:dyDescent="0.2">
      <c r="A157" s="178" t="s">
        <v>124</v>
      </c>
      <c r="C157" s="31" t="s">
        <v>339</v>
      </c>
      <c r="D157" s="6">
        <f>SUM(D55:D57,D59:D60)-D158</f>
        <v>74497.787610619474</v>
      </c>
      <c r="E157" s="1" t="s">
        <v>236</v>
      </c>
      <c r="F157" s="207">
        <f t="shared" si="31"/>
        <v>3.64</v>
      </c>
      <c r="G157" s="1" t="s">
        <v>337</v>
      </c>
      <c r="O157" s="123"/>
      <c r="Q157" s="123"/>
    </row>
    <row r="158" spans="1:38" x14ac:dyDescent="0.2">
      <c r="A158" s="178" t="s">
        <v>208</v>
      </c>
      <c r="C158" s="31" t="s">
        <v>340</v>
      </c>
      <c r="D158" s="6">
        <f>IF(Eing_Unterhaltskosten=0,0,
(SUMPRODUCT(D77:D79,F77:F79)+0.5*Eing_Kosten_Planung_QM*F80)/SUMPRODUCT(D68:D80,F68:F80)*SUM(D55:D57,D59:D60))</f>
        <v>37002.212389380533</v>
      </c>
      <c r="E158" s="1" t="s">
        <v>236</v>
      </c>
      <c r="F158" s="207">
        <f t="shared" si="31"/>
        <v>1.81</v>
      </c>
      <c r="G158" s="1" t="s">
        <v>337</v>
      </c>
      <c r="O158" s="123"/>
      <c r="Q158" s="123"/>
    </row>
    <row r="159" spans="1:38" x14ac:dyDescent="0.2">
      <c r="A159" s="178" t="s">
        <v>178</v>
      </c>
      <c r="C159" s="31" t="s">
        <v>341</v>
      </c>
      <c r="D159" s="6">
        <f>SUM(D140:D146)</f>
        <v>119264.72377299302</v>
      </c>
      <c r="E159" s="1" t="s">
        <v>236</v>
      </c>
      <c r="F159" s="207">
        <f t="shared" si="31"/>
        <v>5.83</v>
      </c>
      <c r="G159" s="1" t="s">
        <v>337</v>
      </c>
      <c r="O159" s="123"/>
      <c r="Q159" s="123"/>
    </row>
    <row r="160" spans="1:38" x14ac:dyDescent="0.2">
      <c r="A160" s="184" t="s">
        <v>209</v>
      </c>
      <c r="C160" s="31" t="s">
        <v>689</v>
      </c>
      <c r="D160" s="6">
        <f>-SUM(D148:D149)</f>
        <v>0</v>
      </c>
      <c r="E160" s="1" t="s">
        <v>236</v>
      </c>
      <c r="F160" s="207">
        <f t="shared" si="31"/>
        <v>0</v>
      </c>
      <c r="G160" s="1" t="s">
        <v>337</v>
      </c>
      <c r="O160" s="123"/>
      <c r="Q160" s="123"/>
    </row>
    <row r="161" spans="1:17" x14ac:dyDescent="0.2">
      <c r="A161" s="178" t="s">
        <v>200</v>
      </c>
      <c r="C161" s="46" t="s">
        <v>334</v>
      </c>
      <c r="D161" s="41">
        <f>SUM(D155:D160)</f>
        <v>374954.72377299302</v>
      </c>
      <c r="E161" s="5" t="s">
        <v>236</v>
      </c>
      <c r="F161" s="8">
        <f t="shared" si="31"/>
        <v>18.329999999999998</v>
      </c>
      <c r="G161" s="5" t="s">
        <v>337</v>
      </c>
      <c r="O161" s="123"/>
      <c r="Q161" s="123"/>
    </row>
    <row r="162" spans="1:17" x14ac:dyDescent="0.2">
      <c r="A162" s="178" t="s">
        <v>204</v>
      </c>
      <c r="C162" s="31" t="s">
        <v>342</v>
      </c>
      <c r="D162" s="6">
        <f>ROUND(PMT(Eing_Realzins/100,25,Gesamtsumme_Förderung),0)</f>
        <v>-15366</v>
      </c>
      <c r="E162" s="1" t="s">
        <v>236</v>
      </c>
      <c r="F162" s="207">
        <f t="shared" si="31"/>
        <v>-0.75</v>
      </c>
      <c r="G162" s="1" t="s">
        <v>337</v>
      </c>
    </row>
    <row r="163" spans="1:17" x14ac:dyDescent="0.2">
      <c r="A163" s="178" t="s">
        <v>258</v>
      </c>
      <c r="C163" s="46" t="s">
        <v>343</v>
      </c>
      <c r="D163" s="41">
        <f>SUM(D161:D162)</f>
        <v>359588.72377299302</v>
      </c>
      <c r="E163" s="5" t="s">
        <v>236</v>
      </c>
      <c r="F163" s="8">
        <f t="shared" si="31"/>
        <v>17.579999999999998</v>
      </c>
      <c r="G163" s="5" t="s">
        <v>337</v>
      </c>
      <c r="H163" s="5"/>
    </row>
    <row r="164" spans="1:17" x14ac:dyDescent="0.2"/>
  </sheetData>
  <sheetProtection algorithmName="SHA-512" hashValue="dc9rBf105c30NZesbUjUm88XFa9BmiAEaaxGVcd14FEUEEY171lm0m4K25xZuS94NAR5FmLhnOoNzI3bDBa2QA==" saltValue="hnBqzaVzvX/TZcLz74EnEg==" spinCount="100000" sheet="1" objects="1" scenarios="1"/>
  <phoneticPr fontId="8" type="noConversion"/>
  <conditionalFormatting sqref="D19">
    <cfRule type="cellIs" dxfId="22" priority="14" operator="notEqual">
      <formula>$K19</formula>
    </cfRule>
  </conditionalFormatting>
  <conditionalFormatting sqref="D23">
    <cfRule type="cellIs" dxfId="21" priority="13" operator="notEqual">
      <formula>$K23</formula>
    </cfRule>
  </conditionalFormatting>
  <conditionalFormatting sqref="D39">
    <cfRule type="cellIs" dxfId="20" priority="12" operator="notEqual">
      <formula>$K39</formula>
    </cfRule>
  </conditionalFormatting>
  <conditionalFormatting sqref="D49">
    <cfRule type="cellIs" dxfId="19" priority="11" operator="notEqual">
      <formula>$K49</formula>
    </cfRule>
  </conditionalFormatting>
  <conditionalFormatting sqref="D55">
    <cfRule type="cellIs" dxfId="18" priority="10" operator="notEqual">
      <formula>$K55</formula>
    </cfRule>
  </conditionalFormatting>
  <conditionalFormatting sqref="D57">
    <cfRule type="cellIs" dxfId="17" priority="9" operator="notEqual">
      <formula>$K57</formula>
    </cfRule>
  </conditionalFormatting>
  <conditionalFormatting sqref="D60">
    <cfRule type="cellIs" dxfId="16" priority="8" operator="notEqual">
      <formula>$K60</formula>
    </cfRule>
  </conditionalFormatting>
  <conditionalFormatting sqref="D63">
    <cfRule type="cellIs" dxfId="15" priority="7" operator="notEqual">
      <formula>$K63</formula>
    </cfRule>
  </conditionalFormatting>
  <conditionalFormatting sqref="D84:D87">
    <cfRule type="cellIs" dxfId="14" priority="5" operator="notEqual">
      <formula>$K84</formula>
    </cfRule>
  </conditionalFormatting>
  <conditionalFormatting sqref="D90">
    <cfRule type="cellIs" dxfId="13" priority="1" operator="notEqual">
      <formula>$K90</formula>
    </cfRule>
  </conditionalFormatting>
  <conditionalFormatting sqref="D96">
    <cfRule type="cellIs" dxfId="12" priority="3" operator="notEqual">
      <formula>$K96</formula>
    </cfRule>
  </conditionalFormatting>
  <conditionalFormatting sqref="D103">
    <cfRule type="cellIs" dxfId="11" priority="2" operator="notEqual">
      <formula>$K103</formula>
    </cfRule>
  </conditionalFormatting>
  <conditionalFormatting sqref="F68:F80">
    <cfRule type="cellIs" dxfId="10" priority="6" operator="notEqual">
      <formula>$K68</formula>
    </cfRule>
  </conditionalFormatting>
  <conditionalFormatting sqref="I68:I80">
    <cfRule type="cellIs" dxfId="9" priority="4" operator="notEqual">
      <formula>$M68</formula>
    </cfRule>
  </conditionalFormatting>
  <dataValidations count="2">
    <dataValidation type="whole" operator="greaterThan" allowBlank="1" showErrorMessage="1" errorTitle="Zahl grösser 0 eintragen" error="Nutzungsdauer in Jahre eintragen (&gt;0)" sqref="I68:I79" xr:uid="{00000000-0002-0000-0100-000000000000}">
      <formula1>0</formula1>
    </dataValidation>
    <dataValidation type="list" allowBlank="1" showInputMessage="1" showErrorMessage="1" sqref="E41" xr:uid="{0C37B274-AB03-43F9-A5E8-7F0F83765F33}">
      <formula1>$AG$41:$AG$42</formula1>
    </dataValidation>
  </dataValidations>
  <hyperlinks>
    <hyperlink ref="A1" location="I1_100" display="I1_100" xr:uid="{00000000-0004-0000-0100-000000000000}"/>
    <hyperlink ref="A4" location="I1_101b" display="b" xr:uid="{00000000-0004-0000-0100-000001000000}"/>
    <hyperlink ref="A6" location="I1_101k" display="101k" xr:uid="{00000000-0004-0000-0100-000002000000}"/>
    <hyperlink ref="A8" location="I1_106" display="I1_106" xr:uid="{00000000-0004-0000-0100-000003000000}"/>
    <hyperlink ref="A12" location="I1_107" display="I1_107" xr:uid="{00000000-0004-0000-0100-000004000000}"/>
    <hyperlink ref="A14" location="I1_108" display="I1_108" xr:uid="{00000000-0004-0000-0100-000005000000}"/>
    <hyperlink ref="A17" location="I1_110" display="I1_110" xr:uid="{00000000-0004-0000-0100-000006000000}"/>
    <hyperlink ref="A22" location="I1_110g" display="g" xr:uid="{00000000-0004-0000-0100-000009000000}"/>
    <hyperlink ref="A23" location="I1_110h" display="h" xr:uid="{00000000-0004-0000-0100-00000A000000}"/>
    <hyperlink ref="A25" location="I1_115" display="I1_115" xr:uid="{00000000-0004-0000-0100-00000B000000}"/>
    <hyperlink ref="A44" location="I1_120a" display="a" xr:uid="{00000000-0004-0000-0100-00000C000000}"/>
    <hyperlink ref="A26" location="I1_115a" display="a" xr:uid="{00000000-0004-0000-0100-00000D000000}"/>
    <hyperlink ref="A32" location="I1_115g" display="g" xr:uid="{00000000-0004-0000-0100-00000E000000}"/>
    <hyperlink ref="A47" location="I1_120e" display="e" xr:uid="{00000000-0004-0000-0100-00000F000000}"/>
    <hyperlink ref="A48" location="I1_120f" display="f" xr:uid="{00000000-0004-0000-0100-000012000000}"/>
    <hyperlink ref="A55" location="I1_125a" display="a" xr:uid="{00000000-0004-0000-0100-000013000000}"/>
    <hyperlink ref="A56" location="I1_125b" display="b" xr:uid="{00000000-0004-0000-0100-000014000000}"/>
    <hyperlink ref="A57" location="I1_125c" display="c" xr:uid="{00000000-0004-0000-0100-000015000000}"/>
    <hyperlink ref="A59" location="I1_125g" display="g" xr:uid="{00000000-0004-0000-0100-000016000000}"/>
    <hyperlink ref="A60" location="I1_125h" display="h" xr:uid="{00000000-0004-0000-0100-000017000000}"/>
    <hyperlink ref="A61" location="I1_125m" display="m" xr:uid="{00000000-0004-0000-0100-000018000000}"/>
    <hyperlink ref="A65" location="I1_140" display="I1_140" xr:uid="{00000000-0004-0000-0100-000019000000}"/>
    <hyperlink ref="D65" location="I1_141" display="I1_141" xr:uid="{00000000-0004-0000-0100-00001A000000}"/>
    <hyperlink ref="F65:G65" location="I1_142" display="I1_142" xr:uid="{00000000-0004-0000-0100-00001B000000}"/>
    <hyperlink ref="I65" location="I1_143" display="I1_143" xr:uid="{00000000-0004-0000-0100-00001C000000}"/>
    <hyperlink ref="A3" location="I1_101a" display="101a" xr:uid="{00000000-0004-0000-0100-00001D000000}"/>
    <hyperlink ref="A67" location="I1_145" display="I1_145" xr:uid="{00000000-0004-0000-0100-00001E000000}"/>
    <hyperlink ref="A68" location="I1_145a" display="a" xr:uid="{00000000-0004-0000-0100-00001F000000}"/>
    <hyperlink ref="A69" location="I1_145b" display="b" xr:uid="{00000000-0004-0000-0100-000020000000}"/>
    <hyperlink ref="A75" location="I1_145h" display="h" xr:uid="{00000000-0004-0000-0100-000021000000}"/>
    <hyperlink ref="A76" location="I1_145i" display="i" xr:uid="{00000000-0004-0000-0100-000022000000}"/>
    <hyperlink ref="A77" location="I1_145j" display="j" xr:uid="{00000000-0004-0000-0100-000023000000}"/>
    <hyperlink ref="A78" location="I1_145k" display="k" xr:uid="{00000000-0004-0000-0100-000024000000}"/>
    <hyperlink ref="A79" location="I1_145l" display="l" xr:uid="{00000000-0004-0000-0100-000025000000}"/>
    <hyperlink ref="A81" location="I1_145z" display="z" xr:uid="{00000000-0004-0000-0100-000027000000}"/>
    <hyperlink ref="A82" location="I1_150" display="I1_150" xr:uid="{00000000-0004-0000-0100-000028000000}"/>
    <hyperlink ref="A83" location="I1_150a" display="a" xr:uid="{00000000-0004-0000-0100-000029000000}"/>
    <hyperlink ref="A84" location="I1_150b" display="b" xr:uid="{00000000-0004-0000-0100-00002A000000}"/>
    <hyperlink ref="A92" location="I1_160" display="I1_160" xr:uid="{00000000-0004-0000-0100-00002C000000}"/>
    <hyperlink ref="A93" location="I1_160a" display="a" xr:uid="{00000000-0004-0000-0100-00002D000000}"/>
    <hyperlink ref="A95" location="I1_160c" display="c" xr:uid="{00000000-0004-0000-0100-00002F000000}"/>
    <hyperlink ref="A97" location="I1_160e" display="e" xr:uid="{00000000-0004-0000-0100-000030000000}"/>
    <hyperlink ref="A100" location="I1_160a" display="a" xr:uid="{00000000-0004-0000-0100-000031000000}"/>
    <hyperlink ref="A101" location="I1_160b" display="b" xr:uid="{00000000-0004-0000-0100-000032000000}"/>
    <hyperlink ref="A106" location="I1_165" display="I1_165" xr:uid="{00000000-0004-0000-0100-000035000000}"/>
    <hyperlink ref="A108" location="I1_166a" display="a" xr:uid="{00000000-0004-0000-0100-000037000000}"/>
    <hyperlink ref="A109" location="I1_166b" display="b" xr:uid="{00000000-0004-0000-0100-000038000000}"/>
    <hyperlink ref="A110" location="I1_166a" display="a" xr:uid="{00000000-0004-0000-0100-000039000000}"/>
    <hyperlink ref="A111" location="I1_166b" display="b" xr:uid="{00000000-0004-0000-0100-00003A000000}"/>
    <hyperlink ref="A114" location="I1_167" display="I1_167" xr:uid="{00000000-0004-0000-0100-00003B000000}"/>
    <hyperlink ref="A115" location="I1_167a" display="a" xr:uid="{00000000-0004-0000-0100-00003C000000}"/>
    <hyperlink ref="A116" location="I1_167b" display="b" xr:uid="{00000000-0004-0000-0100-00003D000000}"/>
    <hyperlink ref="A117" location="I1_167c" display="c" xr:uid="{00000000-0004-0000-0100-00003E000000}"/>
    <hyperlink ref="A122" location="I1_170" display="I1_170" xr:uid="{00000000-0004-0000-0100-00003F000000}"/>
    <hyperlink ref="A123" location="I1_170a" display="a" xr:uid="{00000000-0004-0000-0100-000040000000}"/>
    <hyperlink ref="A124" location="I1_170b" display="b" xr:uid="{00000000-0004-0000-0100-000041000000}"/>
    <hyperlink ref="A130" location="I1_170h" display="h" xr:uid="{00000000-0004-0000-0100-000042000000}"/>
    <hyperlink ref="A135" location="I1_170l" display="l" xr:uid="{00000000-0004-0000-0100-000043000000}"/>
    <hyperlink ref="A140" location="I1_175a" display="a" xr:uid="{00000000-0004-0000-0100-000044000000}"/>
    <hyperlink ref="A144" location="I1_175e" display="e" xr:uid="{00000000-0004-0000-0100-000045000000}"/>
    <hyperlink ref="A151" location="I1_145z" display="145z" xr:uid="{00000000-0004-0000-0100-000047000000}"/>
    <hyperlink ref="A152" location="I1_179" display="I1_179" xr:uid="{00000000-0004-0000-0100-000048000000}"/>
    <hyperlink ref="A62" location="I1_125n" display="n" xr:uid="{D3AC80E1-5D4F-4D33-B91E-70DB97563069}"/>
    <hyperlink ref="A63" location="I1_125o" display="o" xr:uid="{7D624401-FA26-482C-8EF8-5012FD5168C1}"/>
    <hyperlink ref="A154" location="I1_190" display="I1_190" xr:uid="{8A41F2B5-1F9B-4BDB-A0A1-10AF1436F88D}"/>
    <hyperlink ref="A155" location="I1_190a" display="a" xr:uid="{BAA45EF2-0B21-4677-BD7F-5E25C36B23CB}"/>
    <hyperlink ref="A156" location="I1_190b" display="b" xr:uid="{2E772FFC-23F0-45D4-8AE4-2C466B0329A6}"/>
    <hyperlink ref="A157" location="I1_190c" display="c" xr:uid="{D4557628-498D-476E-B135-895D886AC759}"/>
    <hyperlink ref="A158" location="I1_190d" display="d" xr:uid="{8A52A136-B451-49E7-9312-6AAE14E28671}"/>
    <hyperlink ref="A159" location="I1_190e" display="e" xr:uid="{2E5A9AE8-4136-4186-B9BC-F6069934F1B4}"/>
    <hyperlink ref="A161" location="I1_190g" display="g" xr:uid="{D11800CC-49C7-4D4C-A2C9-2307050E8461}"/>
    <hyperlink ref="A162" location="I1_190h" display="h" xr:uid="{E7E7730A-6D3D-4A58-B319-1AD7C8604380}"/>
    <hyperlink ref="A163" location="I1_190i" display="i" xr:uid="{D881F188-91AF-402C-ABE0-36CA6D98F0F0}"/>
    <hyperlink ref="A85" location="I1_150b" display="c" xr:uid="{F6B4FDAD-7ECC-4ED0-8CBB-BBD73958A5DB}"/>
    <hyperlink ref="A86" location="I1_150b" display="d" xr:uid="{ADD99F61-E1F6-4D51-9178-87CCBB2BD88E}"/>
    <hyperlink ref="A87" location="I1_150b" display="e" xr:uid="{3A835655-C72B-4164-96E9-B1203E1B34C5}"/>
    <hyperlink ref="A96" location="I1_160d" display="d" xr:uid="{9317B781-B9EE-4371-90F2-741EC27ECD8A}"/>
    <hyperlink ref="A43" location="I1_120" display="I1_120" xr:uid="{16DA0486-8FEF-4A11-82BF-68BF7B202A91}"/>
    <hyperlink ref="A45" location="I1_120c" display="c" xr:uid="{A4092242-0E1E-46E4-90DF-DF62A8D37C4B}"/>
    <hyperlink ref="A54" location="I1_125" display="I1_125" xr:uid="{E42240AC-299B-44CC-817D-4D1CE1B534E9}"/>
    <hyperlink ref="A112" location="I1_166a" display="a" xr:uid="{6FCBD407-6E2B-41BB-BFC9-B6DF4E46581B}"/>
    <hyperlink ref="A113" location="I1_166b" display="b" xr:uid="{193CB26C-7CA0-4C77-A281-5D18391C8546}"/>
    <hyperlink ref="A118" location="I1_167a" display="a" xr:uid="{E675D568-CA07-4AE5-96A1-06857EF20F95}"/>
    <hyperlink ref="A119" location="I1_167b" display="b" xr:uid="{9956F922-819A-4912-A4E4-5C4D1C3802B4}"/>
    <hyperlink ref="A120" location="I1_167c" display="c" xr:uid="{5C8CA728-D880-4A1A-9FB1-20A50E2C5E18}"/>
    <hyperlink ref="A46" location="I1_120d" display="d" xr:uid="{403AD6E0-2782-454C-A7AB-E2728D0A4FF8}"/>
    <hyperlink ref="A5" location="I1_101e" display="e" xr:uid="{9C324E10-B8E8-4E03-82BE-2C9BD2EC8E30}"/>
    <hyperlink ref="A27" location="I1_115b" display="b" xr:uid="{33C32662-AD72-4064-AA3F-8752508DA65F}"/>
    <hyperlink ref="A18" location="I1_110a" display="a" xr:uid="{A3A56A90-34E0-4BA3-9F10-EA48BA3BB5FA}"/>
    <hyperlink ref="A19" location="I1_110b" display="b" xr:uid="{B19E569B-A72E-48C6-A50F-2FEC7F3B24B1}"/>
    <hyperlink ref="A20" location="i1_110c" display="c" xr:uid="{1E09AC19-0D5D-44FA-9CA5-AB0F5B4BBA55}"/>
    <hyperlink ref="A28" location="I1_115c" display="c" xr:uid="{5E8FF84D-1AF2-4F11-B50A-BB674C60B953}"/>
    <hyperlink ref="A29" location="I1_115d" display="d" xr:uid="{BF728215-6CFE-4589-B996-F4C526E692BA}"/>
    <hyperlink ref="A30" location="I1_115e" display="e" xr:uid="{D96254A2-DBE2-44F9-9687-5A7BCE101997}"/>
    <hyperlink ref="A31" location="I1_115f" display="f" xr:uid="{E1B528BA-CE87-4040-A158-0F1F0841653E}"/>
    <hyperlink ref="A33" location="I1_115l" display="l" xr:uid="{E9F548E9-29C0-421B-82BD-19C30432B01B}"/>
    <hyperlink ref="A34" location="I1_115m" display="m" xr:uid="{0BFDD8EF-09C2-43B9-930D-11B575850901}"/>
    <hyperlink ref="A35" location="I1_115n" display="n" xr:uid="{25DCCF9E-0D08-44CA-B5FD-50348140F6A2}"/>
    <hyperlink ref="A36" location="I1_115o" display="o" xr:uid="{FBF2B09B-5481-42F9-BBF8-3C1B521D2C4D}"/>
    <hyperlink ref="A38" location="I1_115u" display="u" xr:uid="{88F04679-CBEA-4226-A8E1-6C971434DAF3}"/>
    <hyperlink ref="A39" location="I1_115v" display="v" xr:uid="{AFCF7731-3BD4-474D-8CD5-C7B194BB39C0}"/>
    <hyperlink ref="A40" location="I1_115w" display="w" xr:uid="{0EA3A002-7858-4843-A1DE-87E2A457FE1A}"/>
    <hyperlink ref="A41" location="I1_115x" display="x" xr:uid="{0E45BCCB-6D08-4C08-BF8C-A8000B224673}"/>
    <hyperlink ref="A49" location="I1_120g" display="g" xr:uid="{2E383D81-8E24-4AD3-9AD5-1009A1882523}"/>
    <hyperlink ref="A70" location="I1_145c" display="c" xr:uid="{C85B3EC2-612F-4A63-A927-988DA2EF7902}"/>
    <hyperlink ref="A71" location="I1_145d" display="d" xr:uid="{BF278BC2-3B03-491C-AAEC-91A0C8627BF0}"/>
    <hyperlink ref="A72" location="I1_145e" display="e" xr:uid="{BA28AD1E-714C-4816-9202-C5629B9FCDEC}"/>
    <hyperlink ref="A73" location="I1_145f" display="f" xr:uid="{47BFFBC0-7CC5-4A3D-8594-F5725406E697}"/>
    <hyperlink ref="A74" location="I1_145g" display="g" xr:uid="{3E8D8E55-AF80-4114-9A45-F6DFE414D93A}"/>
    <hyperlink ref="A80" location="I1_145m" display="m" xr:uid="{202C793C-355F-47C4-B4DB-5773D72424DF}"/>
    <hyperlink ref="A89" location="I1_155" display="I1_155" xr:uid="{4B5D6E9B-8C2F-4428-B561-D0AC3D41056B}"/>
    <hyperlink ref="A94" location="I1_160b" display="b" xr:uid="{C68D224E-B49A-47F0-A7F2-C00D71763268}"/>
    <hyperlink ref="A103" location="I1_160d" display="d" xr:uid="{03DFABAC-0A3B-4399-A090-28B69C0E4AC0}"/>
    <hyperlink ref="A104" location="I1_160e" display="e" xr:uid="{00000000-0004-0000-0100-000034000000}"/>
    <hyperlink ref="A102" location="I1_160c" display="c" xr:uid="{00000000-0004-0000-0100-000033000000}"/>
    <hyperlink ref="A107" location="I1_166" display="I1_166" xr:uid="{F0A09590-19BA-47C2-B8FA-4EF67BC9E782}"/>
    <hyperlink ref="A125" location="I1_170c" display="c" xr:uid="{EAC2A566-5946-437B-A270-A96B5E5BC2CD}"/>
    <hyperlink ref="A126" location="I1_170d" display="d" xr:uid="{B8F394BD-9347-45A9-A87F-952505DC9639}"/>
    <hyperlink ref="A127" location="I1_170e" display="e" xr:uid="{02CF2CC1-7627-4AB7-838C-B0BDDA2CEBBB}"/>
    <hyperlink ref="A128" location="I1_170f" display="f" xr:uid="{7419E609-44BE-4376-B994-C2BC65654A92}"/>
    <hyperlink ref="A129" location="I1_170g" display="g" xr:uid="{C94CF456-2064-4E17-976E-B8D1E32A4B63}"/>
    <hyperlink ref="A131" location="I1_170i" display="i" xr:uid="{FDAB1F4A-CB38-4896-838B-E36FA2F689A5}"/>
    <hyperlink ref="A133" location="I1_170j" display="j" xr:uid="{361E71B4-D32C-4833-AF1C-E3B6DEB3DAB3}"/>
    <hyperlink ref="A134" location="I1_170k" display="k" xr:uid="{10919329-7668-457C-8C53-86B84BC5CD35}"/>
    <hyperlink ref="A136" location="I1_170m" display="m" xr:uid="{50F12647-D137-4AA8-8096-44F5E3B26DEB}"/>
    <hyperlink ref="A137" location="I1_170n" display="n" xr:uid="{AAB9BE0D-AA15-4D25-BC7B-30AC9BE3BEFB}"/>
    <hyperlink ref="A139" location="I1_175" display="I1_175" xr:uid="{3512F7EB-B90C-4593-ABEB-04CDAFF435A5}"/>
    <hyperlink ref="A141" location="I1_175b" display="b" xr:uid="{E4161B67-EE62-4EB4-89E9-16595D18899A}"/>
    <hyperlink ref="A142" location="I1_175c" display="c" xr:uid="{5B4B2786-AE0B-440B-8CF5-212DB13816FA}"/>
    <hyperlink ref="A143" location="I1_175d" display="d" xr:uid="{AA598EF2-24A9-496B-8737-54B116A290E4}"/>
    <hyperlink ref="A145" location="I1_175f" display="f" xr:uid="{CCE20977-0059-4BE5-82AB-B6273ECE997A}"/>
    <hyperlink ref="A147" location="I1_177" display="I1_177" xr:uid="{56D4DC43-B56F-4543-BD5C-DE1085B26569}"/>
    <hyperlink ref="A148" location="I1_177a" display="a" xr:uid="{6B6EFEF1-1A30-452A-9E47-9225EC3229B0}"/>
    <hyperlink ref="A149" location="I1_177b" display="b" xr:uid="{E509AE18-C079-4860-B35F-6CF8913675E8}"/>
    <hyperlink ref="A160" location="I1_190f" display="f" xr:uid="{6AE98D8C-9E05-4B8D-9482-AD66593DAF23}"/>
    <hyperlink ref="K2" location="I1_105" display="I1_105" xr:uid="{B3EADB01-44DA-46BA-AD66-9642F058B306}"/>
    <hyperlink ref="M2" location="I1_105" display="I1_105" xr:uid="{60EAD8BA-40FD-42BD-A906-F2D07BEF4F36}"/>
    <hyperlink ref="A37" location="I1_115q" display="q" xr:uid="{577FDF5A-801D-4FF2-A722-7DE894D28641}"/>
    <hyperlink ref="A50" location="I1_120j" display="j" xr:uid="{8BF96C17-017C-4964-AC90-AB64F0889B2C}"/>
    <hyperlink ref="A51" location="I1_120m" display="m" xr:uid="{452A780C-552B-4056-A54D-5D6017D33B35}"/>
    <hyperlink ref="A52" location="I1_120n" display="n" xr:uid="{8CF8CA2A-ACE8-4666-8DC2-AC4FD944E17C}"/>
    <hyperlink ref="A146" location="I1_175h" display="h" xr:uid="{EF39C76B-DC0E-4B59-B813-12F5B2E95CA2}"/>
    <hyperlink ref="A132" location="I1_170j" display="j" xr:uid="{CF6D1302-3D9B-44A7-92D4-311C0AE382D2}"/>
    <hyperlink ref="A90" location="I1_156" display="I1_156" xr:uid="{08ED49C5-6F22-44F6-80F1-58D78E78921A}"/>
    <hyperlink ref="F88" location="I1_151" display="I1_151" xr:uid="{BA1F179E-8CEF-4D32-93F4-A55AEB275D55}"/>
  </hyperlinks>
  <pageMargins left="0.78740157480314965" right="0.6692913385826772" top="1.1417322834645669" bottom="1.3385826771653544" header="0.51181102362204722" footer="0.51181102362204722"/>
  <pageSetup paperSize="9" scale="59" fitToHeight="0" orientation="landscape" r:id="rId1"/>
  <headerFooter alignWithMargins="0">
    <oddHeader>&amp;L&amp;G&amp;R&amp;G</oddHeader>
    <oddFooter>&amp;L&amp;"Arial,Standard"&amp;10&amp;F&amp;C&amp;"Arial,Standard"&amp;10&amp;P / &amp;N &amp;R&amp;"Arial,Standard"&amp;10&amp;D</oddFooter>
  </headerFooter>
  <rowBreaks count="3" manualBreakCount="3">
    <brk id="42" max="16383" man="1"/>
    <brk id="88" max="16383" man="1"/>
    <brk id="120"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K51"/>
  <sheetViews>
    <sheetView workbookViewId="0">
      <selection activeCell="D14" sqref="D14"/>
    </sheetView>
  </sheetViews>
  <sheetFormatPr baseColWidth="10" defaultColWidth="0" defaultRowHeight="12.75" zeroHeight="1" x14ac:dyDescent="0.2"/>
  <cols>
    <col min="1" max="1" width="5" style="31" customWidth="1"/>
    <col min="2" max="2" width="10.85546875" style="1" customWidth="1"/>
    <col min="3" max="3" width="3.7109375" style="1" customWidth="1"/>
    <col min="4" max="4" width="16.7109375" style="1" customWidth="1"/>
    <col min="5" max="5" width="6.85546875" style="1" customWidth="1"/>
    <col min="6" max="6" width="12.28515625" style="1" customWidth="1"/>
    <col min="7" max="8" width="10.85546875" style="1" customWidth="1"/>
    <col min="9" max="9" width="17.28515625" style="1" customWidth="1"/>
    <col min="10" max="10" width="2.140625" style="2" customWidth="1"/>
    <col min="11" max="11" width="40.7109375" style="1" customWidth="1"/>
    <col min="12" max="16384" width="10.85546875" style="1" hidden="1"/>
  </cols>
  <sheetData>
    <row r="1" spans="1:11" ht="17.100000000000001" customHeight="1" x14ac:dyDescent="0.25">
      <c r="A1" s="175">
        <v>200</v>
      </c>
      <c r="B1" s="148" t="s">
        <v>344</v>
      </c>
    </row>
    <row r="2" spans="1:11" ht="12.95" customHeight="1" x14ac:dyDescent="0.2">
      <c r="B2" s="5"/>
    </row>
    <row r="3" spans="1:11" ht="12.95" customHeight="1" x14ac:dyDescent="0.2">
      <c r="A3" s="184" t="s">
        <v>2</v>
      </c>
      <c r="D3" s="28" t="s">
        <v>175</v>
      </c>
    </row>
    <row r="4" spans="1:11" ht="12.95" customHeight="1" x14ac:dyDescent="0.2">
      <c r="A4" s="184" t="s">
        <v>9</v>
      </c>
      <c r="B4" s="1" t="s">
        <v>179</v>
      </c>
    </row>
    <row r="5" spans="1:11" s="5" customFormat="1" ht="12.95" customHeight="1" x14ac:dyDescent="0.2">
      <c r="A5" s="31"/>
      <c r="E5" s="8"/>
      <c r="H5" s="116"/>
      <c r="I5" s="1"/>
      <c r="J5" s="2"/>
      <c r="K5" s="1"/>
    </row>
    <row r="6" spans="1:11" ht="12.95" customHeight="1" x14ac:dyDescent="0.2">
      <c r="A6" s="184">
        <v>206</v>
      </c>
      <c r="B6" s="5" t="s">
        <v>180</v>
      </c>
      <c r="D6" s="359" t="str">
        <f>IF('E1_Données de projet'!C8=0,"",'E1_Données de projet'!C8)</f>
        <v>QMH projet example 2</v>
      </c>
      <c r="E6" s="359"/>
      <c r="F6" s="359"/>
      <c r="G6" s="359"/>
      <c r="H6" s="359"/>
      <c r="I6" s="359"/>
    </row>
    <row r="7" spans="1:11" ht="12.95" customHeight="1" x14ac:dyDescent="0.2">
      <c r="B7" s="5"/>
      <c r="D7" s="359" t="str">
        <f>IF('E1_Données de projet'!C9=0,"",'E1_Données de projet'!C9)</f>
        <v>Modèle de rentabilité</v>
      </c>
      <c r="E7" s="359"/>
      <c r="F7" s="359"/>
      <c r="G7" s="359"/>
      <c r="H7" s="359"/>
      <c r="I7" s="359"/>
    </row>
    <row r="8" spans="1:11" ht="12.95" customHeight="1" x14ac:dyDescent="0.2">
      <c r="B8" s="5"/>
      <c r="D8" s="359" t="str">
        <f>IF('E1_Données de projet'!C10=0,"",'E1_Données de projet'!C10)</f>
        <v>CP / lieu</v>
      </c>
      <c r="E8" s="359"/>
      <c r="F8" s="359"/>
      <c r="G8" s="359"/>
      <c r="H8" s="359"/>
      <c r="I8" s="359"/>
    </row>
    <row r="9" spans="1:11" ht="12.95" customHeight="1" x14ac:dyDescent="0.2">
      <c r="B9" s="5"/>
    </row>
    <row r="10" spans="1:11" s="5" customFormat="1" ht="12.95" customHeight="1" x14ac:dyDescent="0.2">
      <c r="A10" s="185">
        <v>207</v>
      </c>
      <c r="B10" s="101" t="s">
        <v>181</v>
      </c>
      <c r="C10" s="308"/>
      <c r="D10" s="360" t="str">
        <f>IF('E1_Données de projet'!C12=0,"",'E1_Données de projet'!C12)</f>
        <v>date, nome</v>
      </c>
      <c r="E10" s="360"/>
      <c r="F10" s="360"/>
      <c r="G10" s="360"/>
      <c r="H10" s="360"/>
      <c r="I10" s="360"/>
      <c r="J10" s="2"/>
      <c r="K10" s="1"/>
    </row>
    <row r="11" spans="1:11" s="5" customFormat="1" ht="12.95" customHeight="1" x14ac:dyDescent="0.2">
      <c r="A11" s="31"/>
      <c r="E11" s="8"/>
      <c r="H11" s="116"/>
      <c r="I11" s="1"/>
      <c r="J11" s="2"/>
      <c r="K11" s="1"/>
    </row>
    <row r="12" spans="1:11" ht="12.95" customHeight="1" x14ac:dyDescent="0.2">
      <c r="A12" s="184">
        <v>210</v>
      </c>
      <c r="B12" s="5" t="s">
        <v>690</v>
      </c>
      <c r="K12" s="5" t="s">
        <v>176</v>
      </c>
    </row>
    <row r="13" spans="1:11" ht="12.95" customHeight="1" thickBot="1" x14ac:dyDescent="0.25"/>
    <row r="14" spans="1:11" ht="12.95" customHeight="1" x14ac:dyDescent="0.2">
      <c r="A14" s="184">
        <v>211</v>
      </c>
      <c r="B14" s="117" t="s">
        <v>345</v>
      </c>
      <c r="C14" s="118"/>
      <c r="D14" s="119" t="s">
        <v>965</v>
      </c>
      <c r="E14" s="120"/>
      <c r="F14" s="118"/>
      <c r="G14" s="121" cm="1">
        <f t="array" ref="G14">SUMPRODUCT(E3_Consommateurs!$D$18:$XFD$18*(E3_Consommateurs!$D$22:$XFD$22="T 1: "&amp;Eing_Abnehmerart1))/max_verkaufteWM*100</f>
        <v>63.280917977050578</v>
      </c>
      <c r="H14" s="118" t="s">
        <v>346</v>
      </c>
      <c r="I14" s="122"/>
      <c r="K14" s="123"/>
    </row>
    <row r="15" spans="1:11" ht="12.95" customHeight="1" x14ac:dyDescent="0.2">
      <c r="A15" s="184" t="s">
        <v>122</v>
      </c>
      <c r="B15" s="124"/>
      <c r="F15" s="31" t="s">
        <v>347</v>
      </c>
      <c r="G15" s="123">
        <v>140</v>
      </c>
      <c r="H15" s="1" t="s">
        <v>348</v>
      </c>
      <c r="I15" s="125"/>
      <c r="K15" s="123"/>
    </row>
    <row r="16" spans="1:11" ht="12.95" customHeight="1" x14ac:dyDescent="0.2">
      <c r="A16" s="184" t="s">
        <v>123</v>
      </c>
      <c r="B16" s="124"/>
      <c r="F16" s="31" t="s">
        <v>691</v>
      </c>
      <c r="G16" s="123">
        <v>0.1</v>
      </c>
      <c r="H16" s="1" t="s">
        <v>349</v>
      </c>
      <c r="I16" s="125"/>
      <c r="K16" s="123"/>
    </row>
    <row r="17" spans="1:11" ht="12.95" customHeight="1" x14ac:dyDescent="0.2">
      <c r="A17" s="184" t="s">
        <v>124</v>
      </c>
      <c r="B17" s="124"/>
      <c r="F17" s="31" t="s">
        <v>350</v>
      </c>
      <c r="G17" s="123">
        <v>30</v>
      </c>
      <c r="H17" s="1" t="s">
        <v>257</v>
      </c>
      <c r="I17" s="125"/>
      <c r="K17" s="123"/>
    </row>
    <row r="18" spans="1:11" ht="12.95" customHeight="1" thickBot="1" x14ac:dyDescent="0.25">
      <c r="B18" s="126"/>
      <c r="C18" s="127"/>
      <c r="D18" s="127"/>
      <c r="E18" s="127"/>
      <c r="F18" s="127"/>
      <c r="G18" s="127"/>
      <c r="H18" s="127"/>
      <c r="I18" s="128"/>
    </row>
    <row r="19" spans="1:11" ht="12.95" customHeight="1" thickBot="1" x14ac:dyDescent="0.25"/>
    <row r="20" spans="1:11" ht="12.95" customHeight="1" x14ac:dyDescent="0.2">
      <c r="A20" s="184">
        <v>212</v>
      </c>
      <c r="B20" s="117" t="s">
        <v>351</v>
      </c>
      <c r="C20" s="118"/>
      <c r="D20" s="119" t="s">
        <v>966</v>
      </c>
      <c r="E20" s="120"/>
      <c r="F20" s="118"/>
      <c r="G20" s="121" cm="1">
        <f t="array" ref="G20">SUMPRODUCT(E3_Consommateurs!$D$18:$XFD$18*(E3_Consommateurs!$D$22:$XFD$22="T 2: "&amp;Eing_Abnehmerart2))/max_verkaufteWM*100</f>
        <v>6.119847003824904</v>
      </c>
      <c r="H20" s="118" t="s">
        <v>346</v>
      </c>
      <c r="I20" s="122"/>
      <c r="K20" s="123"/>
    </row>
    <row r="21" spans="1:11" ht="12.95" customHeight="1" x14ac:dyDescent="0.2">
      <c r="A21" s="184" t="s">
        <v>122</v>
      </c>
      <c r="B21" s="124"/>
      <c r="F21" s="31" t="s">
        <v>347</v>
      </c>
      <c r="G21" s="123">
        <v>120</v>
      </c>
      <c r="H21" s="1" t="s">
        <v>348</v>
      </c>
      <c r="I21" s="125"/>
      <c r="K21" s="123"/>
    </row>
    <row r="22" spans="1:11" ht="12.95" customHeight="1" x14ac:dyDescent="0.2">
      <c r="A22" s="184" t="s">
        <v>123</v>
      </c>
      <c r="B22" s="124"/>
      <c r="F22" s="31" t="s">
        <v>691</v>
      </c>
      <c r="G22" s="123">
        <v>0.1</v>
      </c>
      <c r="H22" s="1" t="s">
        <v>349</v>
      </c>
      <c r="I22" s="125"/>
      <c r="K22" s="123"/>
    </row>
    <row r="23" spans="1:11" ht="12.95" customHeight="1" x14ac:dyDescent="0.2">
      <c r="A23" s="184" t="s">
        <v>124</v>
      </c>
      <c r="B23" s="124"/>
      <c r="F23" s="31" t="s">
        <v>350</v>
      </c>
      <c r="G23" s="123">
        <v>30</v>
      </c>
      <c r="H23" s="1" t="s">
        <v>257</v>
      </c>
      <c r="I23" s="125"/>
      <c r="K23" s="123"/>
    </row>
    <row r="24" spans="1:11" ht="12.95" customHeight="1" thickBot="1" x14ac:dyDescent="0.25">
      <c r="B24" s="126"/>
      <c r="C24" s="127"/>
      <c r="D24" s="127"/>
      <c r="E24" s="127"/>
      <c r="F24" s="127"/>
      <c r="G24" s="127"/>
      <c r="H24" s="127"/>
      <c r="I24" s="128"/>
    </row>
    <row r="25" spans="1:11" ht="12.95" customHeight="1" thickBot="1" x14ac:dyDescent="0.25"/>
    <row r="26" spans="1:11" ht="12.95" customHeight="1" x14ac:dyDescent="0.2">
      <c r="A26" s="184">
        <v>213</v>
      </c>
      <c r="B26" s="117" t="s">
        <v>352</v>
      </c>
      <c r="C26" s="118"/>
      <c r="D26" s="119" t="s">
        <v>967</v>
      </c>
      <c r="E26" s="120"/>
      <c r="F26" s="118"/>
      <c r="G26" s="121" cm="1">
        <f t="array" ref="G26">SUMPRODUCT(E3_Consommateurs!$D$18:$XFD$18*(E3_Consommateurs!$D$22:$XFD$22="T 3: "&amp;Eing_Abnehmerart3))/max_verkaufteWM*100</f>
        <v>25.074373140671486</v>
      </c>
      <c r="H26" s="118" t="s">
        <v>346</v>
      </c>
      <c r="I26" s="122"/>
      <c r="K26" s="123"/>
    </row>
    <row r="27" spans="1:11" ht="12.95" customHeight="1" x14ac:dyDescent="0.2">
      <c r="A27" s="184" t="s">
        <v>122</v>
      </c>
      <c r="B27" s="124"/>
      <c r="F27" s="31" t="s">
        <v>347</v>
      </c>
      <c r="G27" s="123">
        <v>100</v>
      </c>
      <c r="H27" s="1" t="s">
        <v>348</v>
      </c>
      <c r="I27" s="125"/>
      <c r="K27" s="123"/>
    </row>
    <row r="28" spans="1:11" ht="12.95" customHeight="1" x14ac:dyDescent="0.2">
      <c r="A28" s="184" t="s">
        <v>123</v>
      </c>
      <c r="B28" s="124"/>
      <c r="F28" s="31" t="s">
        <v>691</v>
      </c>
      <c r="G28" s="123">
        <v>0.1</v>
      </c>
      <c r="H28" s="1" t="s">
        <v>349</v>
      </c>
      <c r="I28" s="125"/>
      <c r="K28" s="123"/>
    </row>
    <row r="29" spans="1:11" ht="12.95" customHeight="1" x14ac:dyDescent="0.2">
      <c r="A29" s="184" t="s">
        <v>124</v>
      </c>
      <c r="B29" s="124"/>
      <c r="F29" s="31" t="s">
        <v>350</v>
      </c>
      <c r="G29" s="123">
        <v>50</v>
      </c>
      <c r="H29" s="1" t="s">
        <v>257</v>
      </c>
      <c r="I29" s="125"/>
      <c r="K29" s="123"/>
    </row>
    <row r="30" spans="1:11" ht="12.95" customHeight="1" thickBot="1" x14ac:dyDescent="0.25">
      <c r="B30" s="126"/>
      <c r="C30" s="127"/>
      <c r="D30" s="127"/>
      <c r="E30" s="127"/>
      <c r="F30" s="127"/>
      <c r="G30" s="127"/>
      <c r="H30" s="127"/>
      <c r="I30" s="128"/>
    </row>
    <row r="31" spans="1:11" ht="12.95" customHeight="1" thickBot="1" x14ac:dyDescent="0.25"/>
    <row r="32" spans="1:11" ht="12.95" customHeight="1" x14ac:dyDescent="0.2">
      <c r="A32" s="184">
        <v>214</v>
      </c>
      <c r="B32" s="117" t="s">
        <v>353</v>
      </c>
      <c r="C32" s="118"/>
      <c r="D32" s="119" t="s">
        <v>968</v>
      </c>
      <c r="E32" s="120"/>
      <c r="F32" s="118"/>
      <c r="G32" s="121" cm="1">
        <f t="array" ref="G32">SUMPRODUCT(E3_Consommateurs!$D$18:$XFD$18*(E3_Consommateurs!$D$22:$XFD$22="T 4: "&amp;Eing_Abnehmerart4))/max_verkaufteWM*100</f>
        <v>5.5248618784530388</v>
      </c>
      <c r="H32" s="118" t="s">
        <v>346</v>
      </c>
      <c r="I32" s="122"/>
      <c r="K32" s="123"/>
    </row>
    <row r="33" spans="1:11" ht="12.95" customHeight="1" x14ac:dyDescent="0.2">
      <c r="A33" s="184" t="s">
        <v>122</v>
      </c>
      <c r="B33" s="124"/>
      <c r="F33" s="31" t="s">
        <v>347</v>
      </c>
      <c r="G33" s="123">
        <v>140</v>
      </c>
      <c r="H33" s="1" t="s">
        <v>348</v>
      </c>
      <c r="I33" s="125"/>
      <c r="K33" s="123"/>
    </row>
    <row r="34" spans="1:11" ht="12.95" customHeight="1" x14ac:dyDescent="0.2">
      <c r="A34" s="184" t="s">
        <v>123</v>
      </c>
      <c r="B34" s="124"/>
      <c r="F34" s="31" t="s">
        <v>691</v>
      </c>
      <c r="G34" s="123">
        <v>0.1</v>
      </c>
      <c r="H34" s="1" t="s">
        <v>349</v>
      </c>
      <c r="I34" s="125"/>
      <c r="K34" s="123"/>
    </row>
    <row r="35" spans="1:11" ht="12.95" customHeight="1" x14ac:dyDescent="0.2">
      <c r="A35" s="184" t="s">
        <v>124</v>
      </c>
      <c r="B35" s="124"/>
      <c r="F35" s="31" t="s">
        <v>350</v>
      </c>
      <c r="G35" s="123">
        <v>25</v>
      </c>
      <c r="H35" s="1" t="s">
        <v>257</v>
      </c>
      <c r="I35" s="125"/>
      <c r="K35" s="123"/>
    </row>
    <row r="36" spans="1:11" ht="12.95" customHeight="1" thickBot="1" x14ac:dyDescent="0.25">
      <c r="B36" s="126"/>
      <c r="C36" s="127"/>
      <c r="D36" s="127"/>
      <c r="E36" s="127"/>
      <c r="F36" s="127"/>
      <c r="G36" s="127"/>
      <c r="H36" s="127"/>
      <c r="I36" s="128"/>
    </row>
    <row r="37" spans="1:11" ht="12.95" customHeight="1" thickBot="1" x14ac:dyDescent="0.25"/>
    <row r="38" spans="1:11" ht="12.95" customHeight="1" x14ac:dyDescent="0.2">
      <c r="A38" s="184">
        <v>215</v>
      </c>
      <c r="B38" s="117" t="s">
        <v>354</v>
      </c>
      <c r="C38" s="118"/>
      <c r="D38" s="119"/>
      <c r="E38" s="120"/>
      <c r="F38" s="118"/>
      <c r="G38" s="121" cm="1">
        <f t="array" ref="G38">SUMPRODUCT(E3_Consommateurs!$D$18:$XFD$18*(E3_Consommateurs!$D$22:$XFD$22="T 5: "&amp;Eing_Abnehmerart5))/max_verkaufteWM*100</f>
        <v>0</v>
      </c>
      <c r="H38" s="118" t="s">
        <v>346</v>
      </c>
      <c r="I38" s="122"/>
      <c r="K38" s="123"/>
    </row>
    <row r="39" spans="1:11" ht="12.95" customHeight="1" x14ac:dyDescent="0.2">
      <c r="A39" s="184" t="s">
        <v>122</v>
      </c>
      <c r="B39" s="124"/>
      <c r="F39" s="31" t="s">
        <v>347</v>
      </c>
      <c r="G39" s="123"/>
      <c r="H39" s="1" t="s">
        <v>348</v>
      </c>
      <c r="I39" s="125"/>
      <c r="K39" s="123"/>
    </row>
    <row r="40" spans="1:11" ht="12.95" customHeight="1" x14ac:dyDescent="0.2">
      <c r="A40" s="184" t="s">
        <v>123</v>
      </c>
      <c r="B40" s="124"/>
      <c r="F40" s="31" t="s">
        <v>691</v>
      </c>
      <c r="G40" s="123"/>
      <c r="H40" s="1" t="s">
        <v>349</v>
      </c>
      <c r="I40" s="125"/>
      <c r="K40" s="123"/>
    </row>
    <row r="41" spans="1:11" ht="12.95" customHeight="1" x14ac:dyDescent="0.2">
      <c r="A41" s="184" t="s">
        <v>124</v>
      </c>
      <c r="B41" s="124"/>
      <c r="F41" s="31" t="s">
        <v>350</v>
      </c>
      <c r="G41" s="123"/>
      <c r="H41" s="1" t="s">
        <v>257</v>
      </c>
      <c r="I41" s="125"/>
      <c r="K41" s="123"/>
    </row>
    <row r="42" spans="1:11" ht="12.95" customHeight="1" thickBot="1" x14ac:dyDescent="0.25">
      <c r="B42" s="126"/>
      <c r="C42" s="127"/>
      <c r="D42" s="127"/>
      <c r="E42" s="127"/>
      <c r="F42" s="127"/>
      <c r="G42" s="127"/>
      <c r="H42" s="127"/>
      <c r="I42" s="128"/>
    </row>
    <row r="43" spans="1:11" ht="13.5" thickBot="1" x14ac:dyDescent="0.25"/>
    <row r="44" spans="1:11" ht="12.95" customHeight="1" x14ac:dyDescent="0.2">
      <c r="A44" s="184">
        <v>216</v>
      </c>
      <c r="B44" s="117" t="s">
        <v>355</v>
      </c>
      <c r="C44" s="118"/>
      <c r="D44" s="119"/>
      <c r="E44" s="120"/>
      <c r="F44" s="118"/>
      <c r="G44" s="121" cm="1">
        <f t="array" ref="G44">SUMPRODUCT(E3_Consommateurs!$D$18:$XFD$18*(E3_Consommateurs!$D$22:$XFD$22="T 6: "&amp;Eing_Abnehmerart6))/max_verkaufteWM*100</f>
        <v>0</v>
      </c>
      <c r="H44" s="118" t="s">
        <v>346</v>
      </c>
      <c r="I44" s="122"/>
      <c r="K44" s="123"/>
    </row>
    <row r="45" spans="1:11" ht="12.95" customHeight="1" x14ac:dyDescent="0.2">
      <c r="A45" s="184" t="s">
        <v>122</v>
      </c>
      <c r="B45" s="124"/>
      <c r="F45" s="31" t="s">
        <v>347</v>
      </c>
      <c r="G45" s="123"/>
      <c r="H45" s="1" t="s">
        <v>348</v>
      </c>
      <c r="I45" s="125"/>
      <c r="K45" s="123"/>
    </row>
    <row r="46" spans="1:11" ht="12.95" customHeight="1" x14ac:dyDescent="0.2">
      <c r="A46" s="184" t="s">
        <v>123</v>
      </c>
      <c r="B46" s="124"/>
      <c r="F46" s="31" t="s">
        <v>691</v>
      </c>
      <c r="G46" s="123"/>
      <c r="H46" s="1" t="s">
        <v>349</v>
      </c>
      <c r="I46" s="125"/>
      <c r="K46" s="123"/>
    </row>
    <row r="47" spans="1:11" ht="12.95" customHeight="1" x14ac:dyDescent="0.2">
      <c r="A47" s="184" t="s">
        <v>124</v>
      </c>
      <c r="B47" s="124"/>
      <c r="F47" s="31" t="s">
        <v>350</v>
      </c>
      <c r="G47" s="123"/>
      <c r="H47" s="1" t="s">
        <v>257</v>
      </c>
      <c r="I47" s="125"/>
      <c r="K47" s="123"/>
    </row>
    <row r="48" spans="1:11" ht="12.95" customHeight="1" thickBot="1" x14ac:dyDescent="0.25">
      <c r="B48" s="126"/>
      <c r="C48" s="127"/>
      <c r="D48" s="127"/>
      <c r="E48" s="127"/>
      <c r="F48" s="127"/>
      <c r="G48" s="127"/>
      <c r="H48" s="127"/>
      <c r="I48" s="128"/>
    </row>
    <row r="49" x14ac:dyDescent="0.2"/>
    <row r="50" x14ac:dyDescent="0.2"/>
    <row r="51" x14ac:dyDescent="0.2"/>
  </sheetData>
  <sheetProtection algorithmName="SHA-512" hashValue="58SYBGff0JoG3h+bPjsMXUCOQh0GlJOf0gWMm8+FdLRlDjhw3vfU5dS5CQcROWWrp6AH2ixkFsXNTiie2p5ldQ==" saltValue="Pmlz5JXCxvMmtJfxXCDAaw==" spinCount="100000" sheet="1" objects="1" scenarios="1"/>
  <mergeCells count="4">
    <mergeCell ref="D6:I6"/>
    <mergeCell ref="D7:I7"/>
    <mergeCell ref="D8:I8"/>
    <mergeCell ref="D10:I10"/>
  </mergeCells>
  <phoneticPr fontId="8" type="noConversion"/>
  <hyperlinks>
    <hyperlink ref="A1" location="I1_200" display="I1_200" xr:uid="{00000000-0004-0000-0200-000000000000}"/>
    <hyperlink ref="A3" location="I1_101a" display="101a" xr:uid="{00000000-0004-0000-0200-000001000000}"/>
    <hyperlink ref="A4" location="I1_101k" display="101k" xr:uid="{00000000-0004-0000-0200-000002000000}"/>
    <hyperlink ref="A6" location="I1_206" display="I1_206" xr:uid="{00000000-0004-0000-0200-000003000000}"/>
    <hyperlink ref="A10" location="I1_207" display="I1_207" xr:uid="{00000000-0004-0000-0200-000004000000}"/>
    <hyperlink ref="A12" location="I1_210" display="I1_210" xr:uid="{00000000-0004-0000-0200-000005000000}"/>
    <hyperlink ref="A14" location="I1_211ff" display="I1_211ff" xr:uid="{00000000-0004-0000-0200-000006000000}"/>
    <hyperlink ref="A15" location="I1_211ff" display="a" xr:uid="{00000000-0004-0000-0200-000007000000}"/>
    <hyperlink ref="A16" location="I1_211ff" display="b" xr:uid="{00000000-0004-0000-0200-000008000000}"/>
    <hyperlink ref="A20" location="I1_211ff" display="I1_211ff" xr:uid="{00000000-0004-0000-0200-000009000000}"/>
    <hyperlink ref="A21" location="I1_211ff" display="a" xr:uid="{00000000-0004-0000-0200-00000A000000}"/>
    <hyperlink ref="A22" location="I1_211ff" display="b" xr:uid="{00000000-0004-0000-0200-00000B000000}"/>
    <hyperlink ref="A26" location="I1_211ff" display="I1_211ff" xr:uid="{00000000-0004-0000-0200-00000C000000}"/>
    <hyperlink ref="A27" location="I1_211ff" display="a" xr:uid="{00000000-0004-0000-0200-00000D000000}"/>
    <hyperlink ref="A28" location="I1_211ff" display="b" xr:uid="{00000000-0004-0000-0200-00000E000000}"/>
    <hyperlink ref="A32" location="I1_211ff" display="I1_211ff" xr:uid="{00000000-0004-0000-0200-00000F000000}"/>
    <hyperlink ref="A33" location="I1_211ff" display="a" xr:uid="{00000000-0004-0000-0200-000010000000}"/>
    <hyperlink ref="A34" location="I1_211ff" display="b" xr:uid="{00000000-0004-0000-0200-000011000000}"/>
    <hyperlink ref="A38" location="I1_211ff" display="I1_211ff" xr:uid="{22CD1BC6-BB6A-4C83-87C1-E04DD48BD9F7}"/>
    <hyperlink ref="A39" location="I1_211ff" display="a" xr:uid="{C7B75F08-2D7F-40C2-ABDA-965567F519ED}"/>
    <hyperlink ref="A40" location="I1_211ff" display="b" xr:uid="{C7EE1D57-9CF7-42A5-9E9A-05EF98E1CA66}"/>
    <hyperlink ref="A44" location="I1_211ff" display="I1_211ff" xr:uid="{9228E69A-D904-4002-B52D-EFB5275FBEA5}"/>
    <hyperlink ref="A45" location="I1_211ff" display="a" xr:uid="{5F29F448-2F4B-4FFF-9032-799739C0D64C}"/>
    <hyperlink ref="A46" location="I1_211ff" display="b" xr:uid="{B41D255D-F55E-4703-B3E6-2EB1D86F60F2}"/>
    <hyperlink ref="A17" location="I1_211ff" display="c" xr:uid="{C231F80C-9DC2-42CD-85F2-DF77A3811934}"/>
    <hyperlink ref="A23" location="I1_211ff" display="c" xr:uid="{2B03CFC6-C9EF-4559-B033-CAFD7EAB56C2}"/>
    <hyperlink ref="A29" location="I1_211ff" display="c" xr:uid="{CAA973BC-683C-4906-8A60-57BF8507872C}"/>
    <hyperlink ref="A35" location="I1_211ff" display="c" xr:uid="{EFE2C282-C524-467B-8386-EA7028C0C54C}"/>
    <hyperlink ref="A41" location="I1_211ff" display="c" xr:uid="{39281005-D5CB-4A87-BDC3-C0B74AAA5F6D}"/>
    <hyperlink ref="A47" location="I1_211ff" display="c" xr:uid="{895E74C1-D83B-4EA6-BDB3-509DDBB8FDC1}"/>
  </hyperlinks>
  <pageMargins left="0.78740157480314965" right="0.6692913385826772" top="1.1417322834645669" bottom="1.3385826771653544" header="0.51181102362204722" footer="0.51181102362204722"/>
  <pageSetup paperSize="9" scale="97" fitToHeight="0" orientation="portrait" r:id="rId1"/>
  <headerFooter alignWithMargins="0">
    <oddHeader>&amp;L&amp;G&amp;R&amp;G</oddHeader>
    <oddFooter>&amp;L&amp;"Arial,Standard"&amp;10&amp;F&amp;C&amp;"Arial,Standard"&amp;10&amp;P / &amp;N &amp;R&amp;"Arial,Standard"&amp;10&amp;D</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O41"/>
  <sheetViews>
    <sheetView workbookViewId="0">
      <selection activeCell="D14" sqref="D14"/>
    </sheetView>
  </sheetViews>
  <sheetFormatPr baseColWidth="10" defaultColWidth="0" defaultRowHeight="12.75" zeroHeight="1" x14ac:dyDescent="0.25"/>
  <cols>
    <col min="1" max="1" width="5.7109375" style="180" customWidth="1"/>
    <col min="2" max="2" width="18.140625" style="98" customWidth="1"/>
    <col min="3" max="3" width="36.7109375" style="98" customWidth="1"/>
    <col min="4" max="260" width="18.7109375" style="98" customWidth="1"/>
    <col min="261" max="1003" width="0" style="98" hidden="1" customWidth="1"/>
    <col min="1004" max="16384" width="10.85546875" style="98" hidden="1"/>
  </cols>
  <sheetData>
    <row r="1" spans="1:260" ht="17.100000000000001" customHeight="1" x14ac:dyDescent="0.25">
      <c r="A1" s="179">
        <v>300</v>
      </c>
      <c r="B1" s="153" t="s">
        <v>356</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308"/>
      <c r="AK1" s="308"/>
      <c r="AL1" s="308"/>
      <c r="AM1" s="308"/>
      <c r="AN1" s="308"/>
      <c r="AO1" s="308"/>
      <c r="AP1" s="308"/>
      <c r="AQ1" s="308"/>
      <c r="AR1" s="308"/>
      <c r="AS1" s="308"/>
      <c r="AT1" s="308"/>
      <c r="AU1" s="308"/>
      <c r="AV1" s="308"/>
      <c r="AW1" s="308"/>
      <c r="AX1" s="308"/>
      <c r="AY1" s="308"/>
      <c r="AZ1" s="308"/>
      <c r="BA1" s="308"/>
      <c r="BB1" s="308"/>
      <c r="BC1" s="308"/>
      <c r="BD1" s="308"/>
      <c r="BE1" s="308"/>
      <c r="BF1" s="308"/>
      <c r="BG1" s="308"/>
      <c r="BH1" s="308"/>
      <c r="BI1" s="308"/>
      <c r="BJ1" s="308"/>
      <c r="BK1" s="308"/>
      <c r="BL1" s="308"/>
      <c r="BM1" s="308"/>
      <c r="BN1" s="308"/>
      <c r="BO1" s="308"/>
      <c r="BP1" s="308"/>
      <c r="BQ1" s="308"/>
      <c r="BR1" s="308"/>
      <c r="BS1" s="308"/>
      <c r="BT1" s="308"/>
      <c r="BU1" s="308"/>
      <c r="BV1" s="308"/>
      <c r="BW1" s="308"/>
      <c r="BX1" s="308"/>
      <c r="BY1" s="308"/>
      <c r="BZ1" s="308"/>
      <c r="CA1" s="308"/>
      <c r="CB1" s="308"/>
      <c r="CC1" s="308"/>
      <c r="CD1" s="308"/>
      <c r="CE1" s="308"/>
      <c r="CF1" s="308"/>
      <c r="CG1" s="308"/>
      <c r="CH1" s="308"/>
      <c r="CI1" s="308"/>
      <c r="CJ1" s="308"/>
      <c r="CK1" s="308"/>
      <c r="CL1" s="308"/>
      <c r="CM1" s="308"/>
      <c r="CN1" s="308"/>
      <c r="CO1" s="308"/>
      <c r="CP1" s="308"/>
      <c r="CQ1" s="308"/>
      <c r="CR1" s="308"/>
      <c r="CS1" s="308"/>
      <c r="CT1" s="308"/>
      <c r="CU1" s="308"/>
      <c r="CV1" s="308"/>
      <c r="CW1" s="308"/>
      <c r="CX1" s="308"/>
      <c r="CY1" s="308"/>
      <c r="CZ1" s="308"/>
      <c r="DA1" s="308"/>
      <c r="DB1" s="308"/>
      <c r="DC1" s="308"/>
      <c r="DD1" s="308"/>
      <c r="DE1" s="308"/>
      <c r="DF1" s="308"/>
      <c r="DG1" s="308"/>
      <c r="DH1" s="308"/>
      <c r="DI1" s="308"/>
      <c r="DJ1" s="308"/>
      <c r="DK1" s="308"/>
      <c r="DL1" s="308"/>
      <c r="DM1" s="308"/>
      <c r="DN1" s="308"/>
      <c r="DO1" s="308"/>
      <c r="DP1" s="308"/>
      <c r="DQ1" s="308"/>
      <c r="DR1" s="308"/>
      <c r="DS1" s="308"/>
      <c r="DT1" s="308"/>
      <c r="DU1" s="308"/>
      <c r="DV1" s="308"/>
      <c r="DW1" s="308"/>
      <c r="DX1" s="308"/>
      <c r="DY1" s="308"/>
      <c r="DZ1" s="308"/>
      <c r="EA1" s="308"/>
      <c r="EB1" s="308"/>
      <c r="EC1" s="308"/>
      <c r="ED1" s="308"/>
      <c r="EE1" s="308"/>
      <c r="EF1" s="308"/>
      <c r="EG1" s="308"/>
      <c r="EH1" s="308"/>
      <c r="EI1" s="308"/>
      <c r="EJ1" s="308"/>
      <c r="EK1" s="308"/>
      <c r="EL1" s="308"/>
      <c r="EM1" s="308"/>
      <c r="EN1" s="308"/>
      <c r="EO1" s="308"/>
      <c r="EP1" s="308"/>
      <c r="EQ1" s="308"/>
      <c r="ER1" s="308"/>
      <c r="ES1" s="308"/>
      <c r="ET1" s="308"/>
      <c r="EU1" s="308"/>
      <c r="EV1" s="308"/>
      <c r="EW1" s="308"/>
      <c r="EX1" s="308"/>
      <c r="EY1" s="308"/>
      <c r="EZ1" s="308"/>
      <c r="FA1" s="308"/>
      <c r="FB1" s="308"/>
      <c r="FC1" s="308"/>
      <c r="FD1" s="308"/>
      <c r="FE1" s="308"/>
      <c r="FF1" s="308"/>
      <c r="FG1" s="308"/>
      <c r="FH1" s="308"/>
      <c r="FI1" s="308"/>
      <c r="FJ1" s="308"/>
      <c r="FK1" s="308"/>
      <c r="FL1" s="308"/>
      <c r="FM1" s="308"/>
      <c r="FN1" s="308"/>
      <c r="FO1" s="308"/>
      <c r="FP1" s="308"/>
      <c r="FQ1" s="308"/>
      <c r="FR1" s="308"/>
      <c r="FS1" s="308"/>
      <c r="FT1" s="308"/>
      <c r="FU1" s="308"/>
      <c r="FV1" s="308"/>
      <c r="FW1" s="308"/>
      <c r="FX1" s="308"/>
      <c r="FY1" s="308"/>
      <c r="FZ1" s="308"/>
      <c r="GA1" s="308"/>
      <c r="GB1" s="308"/>
      <c r="GC1" s="308"/>
      <c r="GD1" s="308"/>
      <c r="GE1" s="308"/>
      <c r="GF1" s="308"/>
      <c r="GG1" s="308"/>
      <c r="GH1" s="308"/>
      <c r="GI1" s="308"/>
      <c r="GJ1" s="308"/>
      <c r="GK1" s="308"/>
      <c r="GL1" s="308"/>
      <c r="GM1" s="308"/>
      <c r="GN1" s="308"/>
      <c r="GO1" s="308"/>
      <c r="GP1" s="308"/>
      <c r="GQ1" s="308"/>
      <c r="GR1" s="308"/>
      <c r="GS1" s="308"/>
      <c r="GT1" s="308"/>
      <c r="GU1" s="308"/>
      <c r="GV1" s="308"/>
      <c r="GW1" s="308"/>
      <c r="GX1" s="308"/>
      <c r="GY1" s="308"/>
      <c r="GZ1" s="308"/>
      <c r="HA1" s="308"/>
      <c r="HB1" s="308"/>
      <c r="HC1" s="308"/>
      <c r="HD1" s="308"/>
      <c r="HE1" s="308"/>
      <c r="HF1" s="308"/>
      <c r="HG1" s="308"/>
      <c r="HH1" s="308"/>
      <c r="HI1" s="308"/>
      <c r="HJ1" s="308"/>
      <c r="HK1" s="308"/>
      <c r="HL1" s="308"/>
      <c r="HM1" s="308"/>
      <c r="HN1" s="308"/>
      <c r="HO1" s="308"/>
      <c r="HP1" s="308"/>
      <c r="HQ1" s="308"/>
      <c r="HR1" s="308"/>
      <c r="HS1" s="308"/>
      <c r="HT1" s="308"/>
      <c r="HU1" s="308"/>
      <c r="HV1" s="308"/>
      <c r="HW1" s="308"/>
      <c r="HX1" s="308"/>
      <c r="HY1" s="308"/>
      <c r="HZ1" s="308"/>
      <c r="IA1" s="308"/>
      <c r="IB1" s="308"/>
      <c r="IC1" s="308"/>
      <c r="ID1" s="308"/>
      <c r="IE1" s="308"/>
      <c r="IF1" s="308"/>
      <c r="IG1" s="308"/>
      <c r="IH1" s="308"/>
      <c r="II1" s="308"/>
      <c r="IJ1" s="308"/>
      <c r="IK1" s="308"/>
      <c r="IL1" s="308"/>
      <c r="IM1" s="308"/>
      <c r="IN1" s="308"/>
      <c r="IO1" s="308"/>
      <c r="IP1" s="308"/>
      <c r="IQ1" s="308"/>
      <c r="IR1" s="308"/>
      <c r="IS1" s="308"/>
      <c r="IT1" s="308"/>
      <c r="IU1" s="308"/>
      <c r="IV1" s="308"/>
      <c r="IW1" s="308"/>
      <c r="IX1" s="308"/>
      <c r="IY1" s="308"/>
      <c r="IZ1" s="308"/>
    </row>
    <row r="2" spans="1:260" ht="12.95" customHeight="1" x14ac:dyDescent="0.25">
      <c r="A2" s="309"/>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c r="AE2" s="308"/>
      <c r="AF2" s="308"/>
      <c r="AG2" s="308"/>
      <c r="AH2" s="308"/>
      <c r="AI2" s="308"/>
      <c r="AJ2" s="308"/>
      <c r="AK2" s="308"/>
      <c r="AL2" s="308"/>
      <c r="AM2" s="308"/>
      <c r="AN2" s="308"/>
      <c r="AO2" s="308"/>
      <c r="AP2" s="308"/>
      <c r="AQ2" s="308"/>
      <c r="AR2" s="308"/>
      <c r="AS2" s="308"/>
      <c r="AT2" s="308"/>
      <c r="AU2" s="308"/>
      <c r="AV2" s="308"/>
      <c r="AW2" s="308"/>
      <c r="AX2" s="308"/>
      <c r="AY2" s="308"/>
      <c r="AZ2" s="308"/>
      <c r="BA2" s="308"/>
      <c r="BB2" s="308"/>
      <c r="BC2" s="308"/>
      <c r="BD2" s="308"/>
      <c r="BE2" s="308"/>
      <c r="BF2" s="308"/>
      <c r="BG2" s="308"/>
      <c r="BH2" s="308"/>
      <c r="BI2" s="308"/>
      <c r="BJ2" s="308"/>
      <c r="BK2" s="308"/>
      <c r="BL2" s="308"/>
      <c r="BM2" s="308"/>
      <c r="BN2" s="308"/>
      <c r="BO2" s="308"/>
      <c r="BP2" s="308"/>
      <c r="BQ2" s="308"/>
      <c r="BR2" s="308"/>
      <c r="BS2" s="308"/>
      <c r="BT2" s="308"/>
      <c r="BU2" s="308"/>
      <c r="BV2" s="308"/>
      <c r="BW2" s="308"/>
      <c r="BX2" s="308"/>
      <c r="BY2" s="308"/>
      <c r="BZ2" s="308"/>
      <c r="CA2" s="308"/>
      <c r="CB2" s="308"/>
      <c r="CC2" s="308"/>
      <c r="CD2" s="308"/>
      <c r="CE2" s="308"/>
      <c r="CF2" s="308"/>
      <c r="CG2" s="308"/>
      <c r="CH2" s="308"/>
      <c r="CI2" s="308"/>
      <c r="CJ2" s="308"/>
      <c r="CK2" s="308"/>
      <c r="CL2" s="308"/>
      <c r="CM2" s="308"/>
      <c r="CN2" s="308"/>
      <c r="CO2" s="308"/>
      <c r="CP2" s="308"/>
      <c r="CQ2" s="308"/>
      <c r="CR2" s="308"/>
      <c r="CS2" s="308"/>
      <c r="CT2" s="308"/>
      <c r="CU2" s="308"/>
      <c r="CV2" s="308"/>
      <c r="CW2" s="308"/>
      <c r="CX2" s="308"/>
      <c r="CY2" s="308"/>
      <c r="CZ2" s="308"/>
      <c r="DA2" s="308"/>
      <c r="DB2" s="308"/>
      <c r="DC2" s="308"/>
      <c r="DD2" s="308"/>
      <c r="DE2" s="308"/>
      <c r="DF2" s="308"/>
      <c r="DG2" s="308"/>
      <c r="DH2" s="308"/>
      <c r="DI2" s="308"/>
      <c r="DJ2" s="308"/>
      <c r="DK2" s="308"/>
      <c r="DL2" s="308"/>
      <c r="DM2" s="308"/>
      <c r="DN2" s="308"/>
      <c r="DO2" s="308"/>
      <c r="DP2" s="308"/>
      <c r="DQ2" s="308"/>
      <c r="DR2" s="308"/>
      <c r="DS2" s="308"/>
      <c r="DT2" s="308"/>
      <c r="DU2" s="308"/>
      <c r="DV2" s="308"/>
      <c r="DW2" s="308"/>
      <c r="DX2" s="308"/>
      <c r="DY2" s="308"/>
      <c r="DZ2" s="308"/>
      <c r="EA2" s="308"/>
      <c r="EB2" s="308"/>
      <c r="EC2" s="308"/>
      <c r="ED2" s="308"/>
      <c r="EE2" s="308"/>
      <c r="EF2" s="308"/>
      <c r="EG2" s="308"/>
      <c r="EH2" s="308"/>
      <c r="EI2" s="308"/>
      <c r="EJ2" s="308"/>
      <c r="EK2" s="308"/>
      <c r="EL2" s="308"/>
      <c r="EM2" s="308"/>
      <c r="EN2" s="308"/>
      <c r="EO2" s="308"/>
      <c r="EP2" s="308"/>
      <c r="EQ2" s="308"/>
      <c r="ER2" s="308"/>
      <c r="ES2" s="308"/>
      <c r="ET2" s="308"/>
      <c r="EU2" s="308"/>
      <c r="EV2" s="308"/>
      <c r="EW2" s="308"/>
      <c r="EX2" s="308"/>
      <c r="EY2" s="308"/>
      <c r="EZ2" s="308"/>
      <c r="FA2" s="308"/>
      <c r="FB2" s="308"/>
      <c r="FC2" s="308"/>
      <c r="FD2" s="308"/>
      <c r="FE2" s="308"/>
      <c r="FF2" s="308"/>
      <c r="FG2" s="308"/>
      <c r="FH2" s="308"/>
      <c r="FI2" s="308"/>
      <c r="FJ2" s="308"/>
      <c r="FK2" s="308"/>
      <c r="FL2" s="308"/>
      <c r="FM2" s="308"/>
      <c r="FN2" s="308"/>
      <c r="FO2" s="308"/>
      <c r="FP2" s="308"/>
      <c r="FQ2" s="308"/>
      <c r="FR2" s="308"/>
      <c r="FS2" s="308"/>
      <c r="FT2" s="308"/>
      <c r="FU2" s="308"/>
      <c r="FV2" s="308"/>
      <c r="FW2" s="308"/>
      <c r="FX2" s="308"/>
      <c r="FY2" s="308"/>
      <c r="FZ2" s="308"/>
      <c r="GA2" s="308"/>
      <c r="GB2" s="308"/>
      <c r="GC2" s="308"/>
      <c r="GD2" s="308"/>
      <c r="GE2" s="308"/>
      <c r="GF2" s="308"/>
      <c r="GG2" s="308"/>
      <c r="GH2" s="308"/>
      <c r="GI2" s="308"/>
      <c r="GJ2" s="308"/>
      <c r="GK2" s="308"/>
      <c r="GL2" s="308"/>
      <c r="GM2" s="308"/>
      <c r="GN2" s="308"/>
      <c r="GO2" s="308"/>
      <c r="GP2" s="308"/>
      <c r="GQ2" s="308"/>
      <c r="GR2" s="308"/>
      <c r="GS2" s="308"/>
      <c r="GT2" s="308"/>
      <c r="GU2" s="308"/>
      <c r="GV2" s="308"/>
      <c r="GW2" s="308"/>
      <c r="GX2" s="308"/>
      <c r="GY2" s="308"/>
      <c r="GZ2" s="308"/>
      <c r="HA2" s="308"/>
      <c r="HB2" s="308"/>
      <c r="HC2" s="308"/>
      <c r="HD2" s="308"/>
      <c r="HE2" s="308"/>
      <c r="HF2" s="308"/>
      <c r="HG2" s="308"/>
      <c r="HH2" s="308"/>
      <c r="HI2" s="308"/>
      <c r="HJ2" s="308"/>
      <c r="HK2" s="308"/>
      <c r="HL2" s="308"/>
      <c r="HM2" s="308"/>
      <c r="HN2" s="308"/>
      <c r="HO2" s="308"/>
      <c r="HP2" s="308"/>
      <c r="HQ2" s="308"/>
      <c r="HR2" s="308"/>
      <c r="HS2" s="308"/>
      <c r="HT2" s="308"/>
      <c r="HU2" s="308"/>
      <c r="HV2" s="308"/>
      <c r="HW2" s="308"/>
      <c r="HX2" s="308"/>
      <c r="HY2" s="308"/>
      <c r="HZ2" s="308"/>
      <c r="IA2" s="308"/>
      <c r="IB2" s="308"/>
      <c r="IC2" s="308"/>
      <c r="ID2" s="308"/>
      <c r="IE2" s="308"/>
      <c r="IF2" s="308"/>
      <c r="IG2" s="308"/>
      <c r="IH2" s="308"/>
      <c r="II2" s="308"/>
      <c r="IJ2" s="308"/>
      <c r="IK2" s="308"/>
      <c r="IL2" s="308"/>
      <c r="IM2" s="308"/>
      <c r="IN2" s="308"/>
      <c r="IO2" s="308"/>
      <c r="IP2" s="308"/>
      <c r="IQ2" s="308"/>
      <c r="IR2" s="308"/>
      <c r="IS2" s="308"/>
      <c r="IT2" s="308"/>
      <c r="IU2" s="308"/>
      <c r="IV2" s="308"/>
      <c r="IW2" s="308"/>
      <c r="IX2" s="308"/>
      <c r="IY2" s="308"/>
      <c r="IZ2" s="308"/>
    </row>
    <row r="3" spans="1:260" ht="12.95" customHeight="1" x14ac:dyDescent="0.2">
      <c r="A3" s="178" t="s">
        <v>2</v>
      </c>
      <c r="B3" s="1"/>
      <c r="C3" s="28" t="s">
        <v>175</v>
      </c>
      <c r="D3" s="99"/>
      <c r="E3" s="308"/>
      <c r="F3" s="308"/>
      <c r="G3" s="308"/>
      <c r="H3" s="308"/>
      <c r="I3" s="308"/>
      <c r="J3" s="308"/>
      <c r="K3" s="308"/>
      <c r="L3" s="308"/>
      <c r="M3" s="308"/>
      <c r="N3" s="308"/>
      <c r="O3" s="308"/>
      <c r="P3" s="308"/>
      <c r="Q3" s="308"/>
      <c r="R3" s="308"/>
      <c r="S3" s="308"/>
      <c r="T3" s="308"/>
      <c r="U3" s="308"/>
      <c r="V3" s="308"/>
      <c r="W3" s="308"/>
      <c r="X3" s="308"/>
      <c r="Y3" s="308"/>
      <c r="Z3" s="308"/>
      <c r="AA3" s="308"/>
      <c r="AB3" s="308"/>
      <c r="AC3" s="308"/>
      <c r="AD3" s="308"/>
      <c r="AE3" s="308"/>
      <c r="AF3" s="308"/>
      <c r="AG3" s="308"/>
      <c r="AH3" s="308"/>
      <c r="AI3" s="308"/>
      <c r="AJ3" s="308"/>
      <c r="AK3" s="308"/>
      <c r="AL3" s="308"/>
      <c r="AM3" s="308"/>
      <c r="AN3" s="308"/>
      <c r="AO3" s="308"/>
      <c r="AP3" s="308"/>
      <c r="AQ3" s="308"/>
      <c r="AR3" s="308"/>
      <c r="AS3" s="308"/>
      <c r="AT3" s="308"/>
      <c r="AU3" s="308"/>
      <c r="AV3" s="308"/>
      <c r="AW3" s="308"/>
      <c r="AX3" s="308"/>
      <c r="AY3" s="308"/>
      <c r="AZ3" s="308"/>
      <c r="BA3" s="308"/>
      <c r="BB3" s="308"/>
      <c r="BC3" s="308"/>
      <c r="BD3" s="308"/>
      <c r="BE3" s="308"/>
      <c r="BF3" s="308"/>
      <c r="BG3" s="308"/>
      <c r="BH3" s="308"/>
      <c r="BI3" s="308"/>
      <c r="BJ3" s="308"/>
      <c r="BK3" s="308"/>
      <c r="BL3" s="308"/>
      <c r="BM3" s="308"/>
      <c r="BN3" s="308"/>
      <c r="BO3" s="308"/>
      <c r="BP3" s="308"/>
      <c r="BQ3" s="308"/>
      <c r="BR3" s="308"/>
      <c r="BS3" s="308"/>
      <c r="BT3" s="308"/>
      <c r="BU3" s="308"/>
      <c r="BV3" s="308"/>
      <c r="BW3" s="308"/>
      <c r="BX3" s="308"/>
      <c r="BY3" s="308"/>
      <c r="BZ3" s="308"/>
      <c r="CA3" s="308"/>
      <c r="CB3" s="308"/>
      <c r="CC3" s="308"/>
      <c r="CD3" s="308"/>
      <c r="CE3" s="308"/>
      <c r="CF3" s="308"/>
      <c r="CG3" s="308"/>
      <c r="CH3" s="308"/>
      <c r="CI3" s="308"/>
      <c r="CJ3" s="308"/>
      <c r="CK3" s="308"/>
      <c r="CL3" s="308"/>
      <c r="CM3" s="308"/>
      <c r="CN3" s="308"/>
      <c r="CO3" s="308"/>
      <c r="CP3" s="308"/>
      <c r="CQ3" s="308"/>
      <c r="CR3" s="308"/>
      <c r="CS3" s="308"/>
      <c r="CT3" s="308"/>
      <c r="CU3" s="308"/>
      <c r="CV3" s="308"/>
      <c r="CW3" s="308"/>
      <c r="CX3" s="308"/>
      <c r="CY3" s="308"/>
      <c r="CZ3" s="308"/>
      <c r="DA3" s="308"/>
      <c r="DB3" s="308"/>
      <c r="DC3" s="308"/>
      <c r="DD3" s="308"/>
      <c r="DE3" s="308"/>
      <c r="DF3" s="308"/>
      <c r="DG3" s="308"/>
      <c r="DH3" s="308"/>
      <c r="DI3" s="308"/>
      <c r="DJ3" s="308"/>
      <c r="DK3" s="308"/>
      <c r="DL3" s="308"/>
      <c r="DM3" s="308"/>
      <c r="DN3" s="308"/>
      <c r="DO3" s="308"/>
      <c r="DP3" s="308"/>
      <c r="DQ3" s="308"/>
      <c r="DR3" s="308"/>
      <c r="DS3" s="308"/>
      <c r="DT3" s="308"/>
      <c r="DU3" s="308"/>
      <c r="DV3" s="308"/>
      <c r="DW3" s="308"/>
      <c r="DX3" s="308"/>
      <c r="DY3" s="308"/>
      <c r="DZ3" s="308"/>
      <c r="EA3" s="308"/>
      <c r="EB3" s="308"/>
      <c r="EC3" s="308"/>
      <c r="ED3" s="308"/>
      <c r="EE3" s="308"/>
      <c r="EF3" s="308"/>
      <c r="EG3" s="308"/>
      <c r="EH3" s="308"/>
      <c r="EI3" s="308"/>
      <c r="EJ3" s="308"/>
      <c r="EK3" s="308"/>
      <c r="EL3" s="308"/>
      <c r="EM3" s="308"/>
      <c r="EN3" s="308"/>
      <c r="EO3" s="308"/>
      <c r="EP3" s="308"/>
      <c r="EQ3" s="308"/>
      <c r="ER3" s="308"/>
      <c r="ES3" s="308"/>
      <c r="ET3" s="308"/>
      <c r="EU3" s="308"/>
      <c r="EV3" s="308"/>
      <c r="EW3" s="308"/>
      <c r="EX3" s="308"/>
      <c r="EY3" s="308"/>
      <c r="EZ3" s="308"/>
      <c r="FA3" s="308"/>
      <c r="FB3" s="308"/>
      <c r="FC3" s="308"/>
      <c r="FD3" s="308"/>
      <c r="FE3" s="308"/>
      <c r="FF3" s="308"/>
      <c r="FG3" s="308"/>
      <c r="FH3" s="308"/>
      <c r="FI3" s="308"/>
      <c r="FJ3" s="308"/>
      <c r="FK3" s="308"/>
      <c r="FL3" s="308"/>
      <c r="FM3" s="308"/>
      <c r="FN3" s="308"/>
      <c r="FO3" s="308"/>
      <c r="FP3" s="308"/>
      <c r="FQ3" s="308"/>
      <c r="FR3" s="308"/>
      <c r="FS3" s="308"/>
      <c r="FT3" s="308"/>
      <c r="FU3" s="308"/>
      <c r="FV3" s="308"/>
      <c r="FW3" s="308"/>
      <c r="FX3" s="308"/>
      <c r="FY3" s="308"/>
      <c r="FZ3" s="308"/>
      <c r="GA3" s="308"/>
      <c r="GB3" s="308"/>
      <c r="GC3" s="308"/>
      <c r="GD3" s="308"/>
      <c r="GE3" s="308"/>
      <c r="GF3" s="308"/>
      <c r="GG3" s="308"/>
      <c r="GH3" s="308"/>
      <c r="GI3" s="308"/>
      <c r="GJ3" s="308"/>
      <c r="GK3" s="308"/>
      <c r="GL3" s="308"/>
      <c r="GM3" s="308"/>
      <c r="GN3" s="308"/>
      <c r="GO3" s="308"/>
      <c r="GP3" s="308"/>
      <c r="GQ3" s="308"/>
      <c r="GR3" s="308"/>
      <c r="GS3" s="308"/>
      <c r="GT3" s="308"/>
      <c r="GU3" s="308"/>
      <c r="GV3" s="308"/>
      <c r="GW3" s="308"/>
      <c r="GX3" s="308"/>
      <c r="GY3" s="308"/>
      <c r="GZ3" s="308"/>
      <c r="HA3" s="308"/>
      <c r="HB3" s="308"/>
      <c r="HC3" s="308"/>
      <c r="HD3" s="308"/>
      <c r="HE3" s="308"/>
      <c r="HF3" s="308"/>
      <c r="HG3" s="308"/>
      <c r="HH3" s="308"/>
      <c r="HI3" s="308"/>
      <c r="HJ3" s="308"/>
      <c r="HK3" s="308"/>
      <c r="HL3" s="308"/>
      <c r="HM3" s="308"/>
      <c r="HN3" s="308"/>
      <c r="HO3" s="308"/>
      <c r="HP3" s="308"/>
      <c r="HQ3" s="308"/>
      <c r="HR3" s="308"/>
      <c r="HS3" s="308"/>
      <c r="HT3" s="308"/>
      <c r="HU3" s="308"/>
      <c r="HV3" s="308"/>
      <c r="HW3" s="308"/>
      <c r="HX3" s="308"/>
      <c r="HY3" s="308"/>
      <c r="HZ3" s="308"/>
      <c r="IA3" s="308"/>
      <c r="IB3" s="308"/>
      <c r="IC3" s="308"/>
      <c r="ID3" s="308"/>
      <c r="IE3" s="308"/>
      <c r="IF3" s="308"/>
      <c r="IG3" s="308"/>
      <c r="IH3" s="308"/>
      <c r="II3" s="308"/>
      <c r="IJ3" s="308"/>
      <c r="IK3" s="308"/>
      <c r="IL3" s="308"/>
      <c r="IM3" s="308"/>
      <c r="IN3" s="308"/>
      <c r="IO3" s="308"/>
      <c r="IP3" s="308"/>
      <c r="IQ3" s="308"/>
      <c r="IR3" s="308"/>
      <c r="IS3" s="308"/>
      <c r="IT3" s="308"/>
      <c r="IU3" s="308"/>
      <c r="IV3" s="308"/>
      <c r="IW3" s="308"/>
      <c r="IX3" s="308"/>
      <c r="IY3" s="308"/>
      <c r="IZ3" s="308"/>
    </row>
    <row r="4" spans="1:260" ht="12.95" customHeight="1" x14ac:dyDescent="0.2">
      <c r="A4" s="178" t="s">
        <v>4</v>
      </c>
      <c r="B4" s="1"/>
      <c r="C4" s="152" t="s">
        <v>177</v>
      </c>
      <c r="D4" s="99"/>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c r="AI4" s="308"/>
      <c r="AJ4" s="308"/>
      <c r="AK4" s="308"/>
      <c r="AL4" s="308"/>
      <c r="AM4" s="308"/>
      <c r="AN4" s="308"/>
      <c r="AO4" s="308"/>
      <c r="AP4" s="308"/>
      <c r="AQ4" s="308"/>
      <c r="AR4" s="308"/>
      <c r="AS4" s="308"/>
      <c r="AT4" s="308"/>
      <c r="AU4" s="308"/>
      <c r="AV4" s="308"/>
      <c r="AW4" s="308"/>
      <c r="AX4" s="308"/>
      <c r="AY4" s="308"/>
      <c r="AZ4" s="308"/>
      <c r="BA4" s="308"/>
      <c r="BB4" s="308"/>
      <c r="BC4" s="308"/>
      <c r="BD4" s="308"/>
      <c r="BE4" s="308"/>
      <c r="BF4" s="308"/>
      <c r="BG4" s="308"/>
      <c r="BH4" s="308"/>
      <c r="BI4" s="308"/>
      <c r="BJ4" s="308"/>
      <c r="BK4" s="308"/>
      <c r="BL4" s="308"/>
      <c r="BM4" s="308"/>
      <c r="BN4" s="308"/>
      <c r="BO4" s="308"/>
      <c r="BP4" s="308"/>
      <c r="BQ4" s="308"/>
      <c r="BR4" s="308"/>
      <c r="BS4" s="308"/>
      <c r="BT4" s="308"/>
      <c r="BU4" s="308"/>
      <c r="BV4" s="308"/>
      <c r="BW4" s="308"/>
      <c r="BX4" s="308"/>
      <c r="BY4" s="308"/>
      <c r="BZ4" s="308"/>
      <c r="CA4" s="308"/>
      <c r="CB4" s="308"/>
      <c r="CC4" s="308"/>
      <c r="CD4" s="308"/>
      <c r="CE4" s="308"/>
      <c r="CF4" s="308"/>
      <c r="CG4" s="308"/>
      <c r="CH4" s="308"/>
      <c r="CI4" s="308"/>
      <c r="CJ4" s="308"/>
      <c r="CK4" s="308"/>
      <c r="CL4" s="308"/>
      <c r="CM4" s="308"/>
      <c r="CN4" s="308"/>
      <c r="CO4" s="308"/>
      <c r="CP4" s="308"/>
      <c r="CQ4" s="308"/>
      <c r="CR4" s="308"/>
      <c r="CS4" s="308"/>
      <c r="CT4" s="308"/>
      <c r="CU4" s="308"/>
      <c r="CV4" s="308"/>
      <c r="CW4" s="308"/>
      <c r="CX4" s="308"/>
      <c r="CY4" s="308"/>
      <c r="CZ4" s="308"/>
      <c r="DA4" s="308"/>
      <c r="DB4" s="308"/>
      <c r="DC4" s="308"/>
      <c r="DD4" s="308"/>
      <c r="DE4" s="308"/>
      <c r="DF4" s="308"/>
      <c r="DG4" s="308"/>
      <c r="DH4" s="308"/>
      <c r="DI4" s="308"/>
      <c r="DJ4" s="308"/>
      <c r="DK4" s="308"/>
      <c r="DL4" s="308"/>
      <c r="DM4" s="308"/>
      <c r="DN4" s="308"/>
      <c r="DO4" s="308"/>
      <c r="DP4" s="308"/>
      <c r="DQ4" s="308"/>
      <c r="DR4" s="308"/>
      <c r="DS4" s="308"/>
      <c r="DT4" s="308"/>
      <c r="DU4" s="308"/>
      <c r="DV4" s="308"/>
      <c r="DW4" s="308"/>
      <c r="DX4" s="308"/>
      <c r="DY4" s="308"/>
      <c r="DZ4" s="308"/>
      <c r="EA4" s="308"/>
      <c r="EB4" s="308"/>
      <c r="EC4" s="308"/>
      <c r="ED4" s="308"/>
      <c r="EE4" s="308"/>
      <c r="EF4" s="308"/>
      <c r="EG4" s="308"/>
      <c r="EH4" s="308"/>
      <c r="EI4" s="308"/>
      <c r="EJ4" s="308"/>
      <c r="EK4" s="308"/>
      <c r="EL4" s="308"/>
      <c r="EM4" s="308"/>
      <c r="EN4" s="308"/>
      <c r="EO4" s="308"/>
      <c r="EP4" s="308"/>
      <c r="EQ4" s="308"/>
      <c r="ER4" s="308"/>
      <c r="ES4" s="308"/>
      <c r="ET4" s="308"/>
      <c r="EU4" s="308"/>
      <c r="EV4" s="308"/>
      <c r="EW4" s="308"/>
      <c r="EX4" s="308"/>
      <c r="EY4" s="308"/>
      <c r="EZ4" s="308"/>
      <c r="FA4" s="308"/>
      <c r="FB4" s="308"/>
      <c r="FC4" s="308"/>
      <c r="FD4" s="308"/>
      <c r="FE4" s="308"/>
      <c r="FF4" s="308"/>
      <c r="FG4" s="308"/>
      <c r="FH4" s="308"/>
      <c r="FI4" s="308"/>
      <c r="FJ4" s="308"/>
      <c r="FK4" s="308"/>
      <c r="FL4" s="308"/>
      <c r="FM4" s="308"/>
      <c r="FN4" s="308"/>
      <c r="FO4" s="308"/>
      <c r="FP4" s="308"/>
      <c r="FQ4" s="308"/>
      <c r="FR4" s="308"/>
      <c r="FS4" s="308"/>
      <c r="FT4" s="308"/>
      <c r="FU4" s="308"/>
      <c r="FV4" s="308"/>
      <c r="FW4" s="308"/>
      <c r="FX4" s="308"/>
      <c r="FY4" s="308"/>
      <c r="FZ4" s="308"/>
      <c r="GA4" s="308"/>
      <c r="GB4" s="308"/>
      <c r="GC4" s="308"/>
      <c r="GD4" s="308"/>
      <c r="GE4" s="308"/>
      <c r="GF4" s="308"/>
      <c r="GG4" s="308"/>
      <c r="GH4" s="308"/>
      <c r="GI4" s="308"/>
      <c r="GJ4" s="308"/>
      <c r="GK4" s="308"/>
      <c r="GL4" s="308"/>
      <c r="GM4" s="308"/>
      <c r="GN4" s="308"/>
      <c r="GO4" s="308"/>
      <c r="GP4" s="308"/>
      <c r="GQ4" s="308"/>
      <c r="GR4" s="308"/>
      <c r="GS4" s="308"/>
      <c r="GT4" s="308"/>
      <c r="GU4" s="308"/>
      <c r="GV4" s="308"/>
      <c r="GW4" s="308"/>
      <c r="GX4" s="308"/>
      <c r="GY4" s="308"/>
      <c r="GZ4" s="308"/>
      <c r="HA4" s="308"/>
      <c r="HB4" s="308"/>
      <c r="HC4" s="308"/>
      <c r="HD4" s="308"/>
      <c r="HE4" s="308"/>
      <c r="HF4" s="308"/>
      <c r="HG4" s="308"/>
      <c r="HH4" s="308"/>
      <c r="HI4" s="308"/>
      <c r="HJ4" s="308"/>
      <c r="HK4" s="308"/>
      <c r="HL4" s="308"/>
      <c r="HM4" s="308"/>
      <c r="HN4" s="308"/>
      <c r="HO4" s="308"/>
      <c r="HP4" s="308"/>
      <c r="HQ4" s="308"/>
      <c r="HR4" s="308"/>
      <c r="HS4" s="308"/>
      <c r="HT4" s="308"/>
      <c r="HU4" s="308"/>
      <c r="HV4" s="308"/>
      <c r="HW4" s="308"/>
      <c r="HX4" s="308"/>
      <c r="HY4" s="308"/>
      <c r="HZ4" s="308"/>
      <c r="IA4" s="308"/>
      <c r="IB4" s="308"/>
      <c r="IC4" s="308"/>
      <c r="ID4" s="308"/>
      <c r="IE4" s="308"/>
      <c r="IF4" s="308"/>
      <c r="IG4" s="308"/>
      <c r="IH4" s="308"/>
      <c r="II4" s="308"/>
      <c r="IJ4" s="308"/>
      <c r="IK4" s="308"/>
      <c r="IL4" s="308"/>
      <c r="IM4" s="308"/>
      <c r="IN4" s="308"/>
      <c r="IO4" s="308"/>
      <c r="IP4" s="308"/>
      <c r="IQ4" s="308"/>
      <c r="IR4" s="308"/>
      <c r="IS4" s="308"/>
      <c r="IT4" s="308"/>
      <c r="IU4" s="308"/>
      <c r="IV4" s="308"/>
      <c r="IW4" s="308"/>
      <c r="IX4" s="308"/>
      <c r="IY4" s="308"/>
      <c r="IZ4" s="308"/>
    </row>
    <row r="5" spans="1:260" ht="12.95" customHeight="1" x14ac:dyDescent="0.2">
      <c r="A5" s="178" t="s">
        <v>6</v>
      </c>
      <c r="B5" s="1"/>
      <c r="C5" s="100" t="s">
        <v>357</v>
      </c>
      <c r="D5" s="1"/>
      <c r="E5" s="308"/>
      <c r="F5" s="308"/>
      <c r="G5" s="308"/>
      <c r="H5" s="308"/>
      <c r="I5" s="308"/>
      <c r="J5" s="308"/>
      <c r="K5" s="308"/>
      <c r="L5" s="308"/>
      <c r="M5" s="308"/>
      <c r="N5" s="308"/>
      <c r="O5" s="308"/>
      <c r="P5" s="308"/>
      <c r="Q5" s="308"/>
      <c r="R5" s="308"/>
      <c r="S5" s="308"/>
      <c r="T5" s="308"/>
      <c r="U5" s="308"/>
      <c r="V5" s="308"/>
      <c r="W5" s="308"/>
      <c r="X5" s="308"/>
      <c r="Y5" s="308"/>
      <c r="Z5" s="308"/>
      <c r="AA5" s="308"/>
      <c r="AB5" s="308"/>
      <c r="AC5" s="308"/>
      <c r="AD5" s="308"/>
      <c r="AE5" s="308"/>
      <c r="AF5" s="308"/>
      <c r="AG5" s="308"/>
      <c r="AH5" s="308"/>
      <c r="AI5" s="308"/>
      <c r="AJ5" s="308"/>
      <c r="AK5" s="308"/>
      <c r="AL5" s="308"/>
      <c r="AM5" s="308"/>
      <c r="AN5" s="308"/>
      <c r="AO5" s="308"/>
      <c r="AP5" s="308"/>
      <c r="AQ5" s="308"/>
      <c r="AR5" s="308"/>
      <c r="AS5" s="308"/>
      <c r="AT5" s="308"/>
      <c r="AU5" s="308"/>
      <c r="AV5" s="308"/>
      <c r="AW5" s="308"/>
      <c r="AX5" s="308"/>
      <c r="AY5" s="308"/>
      <c r="AZ5" s="308"/>
      <c r="BA5" s="308"/>
      <c r="BB5" s="308"/>
      <c r="BC5" s="308"/>
      <c r="BD5" s="308"/>
      <c r="BE5" s="308"/>
      <c r="BF5" s="308"/>
      <c r="BG5" s="308"/>
      <c r="BH5" s="308"/>
      <c r="BI5" s="308"/>
      <c r="BJ5" s="308"/>
      <c r="BK5" s="308"/>
      <c r="BL5" s="308"/>
      <c r="BM5" s="308"/>
      <c r="BN5" s="308"/>
      <c r="BO5" s="308"/>
      <c r="BP5" s="308"/>
      <c r="BQ5" s="308"/>
      <c r="BR5" s="308"/>
      <c r="BS5" s="308"/>
      <c r="BT5" s="308"/>
      <c r="BU5" s="308"/>
      <c r="BV5" s="308"/>
      <c r="BW5" s="308"/>
      <c r="BX5" s="308"/>
      <c r="BY5" s="308"/>
      <c r="BZ5" s="308"/>
      <c r="CA5" s="308"/>
      <c r="CB5" s="308"/>
      <c r="CC5" s="308"/>
      <c r="CD5" s="308"/>
      <c r="CE5" s="308"/>
      <c r="CF5" s="308"/>
      <c r="CG5" s="308"/>
      <c r="CH5" s="308"/>
      <c r="CI5" s="308"/>
      <c r="CJ5" s="308"/>
      <c r="CK5" s="308"/>
      <c r="CL5" s="308"/>
      <c r="CM5" s="308"/>
      <c r="CN5" s="308"/>
      <c r="CO5" s="308"/>
      <c r="CP5" s="308"/>
      <c r="CQ5" s="308"/>
      <c r="CR5" s="308"/>
      <c r="CS5" s="308"/>
      <c r="CT5" s="308"/>
      <c r="CU5" s="308"/>
      <c r="CV5" s="308"/>
      <c r="CW5" s="308"/>
      <c r="CX5" s="308"/>
      <c r="CY5" s="308"/>
      <c r="CZ5" s="308"/>
      <c r="DA5" s="308"/>
      <c r="DB5" s="308"/>
      <c r="DC5" s="308"/>
      <c r="DD5" s="308"/>
      <c r="DE5" s="308"/>
      <c r="DF5" s="308"/>
      <c r="DG5" s="308"/>
      <c r="DH5" s="308"/>
      <c r="DI5" s="308"/>
      <c r="DJ5" s="308"/>
      <c r="DK5" s="308"/>
      <c r="DL5" s="308"/>
      <c r="DM5" s="308"/>
      <c r="DN5" s="308"/>
      <c r="DO5" s="308"/>
      <c r="DP5" s="308"/>
      <c r="DQ5" s="308"/>
      <c r="DR5" s="308"/>
      <c r="DS5" s="308"/>
      <c r="DT5" s="308"/>
      <c r="DU5" s="308"/>
      <c r="DV5" s="308"/>
      <c r="DW5" s="308"/>
      <c r="DX5" s="308"/>
      <c r="DY5" s="308"/>
      <c r="DZ5" s="308"/>
      <c r="EA5" s="308"/>
      <c r="EB5" s="308"/>
      <c r="EC5" s="308"/>
      <c r="ED5" s="308"/>
      <c r="EE5" s="308"/>
      <c r="EF5" s="308"/>
      <c r="EG5" s="308"/>
      <c r="EH5" s="308"/>
      <c r="EI5" s="308"/>
      <c r="EJ5" s="308"/>
      <c r="EK5" s="308"/>
      <c r="EL5" s="308"/>
      <c r="EM5" s="308"/>
      <c r="EN5" s="308"/>
      <c r="EO5" s="308"/>
      <c r="EP5" s="308"/>
      <c r="EQ5" s="308"/>
      <c r="ER5" s="308"/>
      <c r="ES5" s="308"/>
      <c r="ET5" s="308"/>
      <c r="EU5" s="308"/>
      <c r="EV5" s="308"/>
      <c r="EW5" s="308"/>
      <c r="EX5" s="308"/>
      <c r="EY5" s="308"/>
      <c r="EZ5" s="308"/>
      <c r="FA5" s="308"/>
      <c r="FB5" s="308"/>
      <c r="FC5" s="308"/>
      <c r="FD5" s="308"/>
      <c r="FE5" s="308"/>
      <c r="FF5" s="308"/>
      <c r="FG5" s="308"/>
      <c r="FH5" s="308"/>
      <c r="FI5" s="308"/>
      <c r="FJ5" s="308"/>
      <c r="FK5" s="308"/>
      <c r="FL5" s="308"/>
      <c r="FM5" s="308"/>
      <c r="FN5" s="308"/>
      <c r="FO5" s="308"/>
      <c r="FP5" s="308"/>
      <c r="FQ5" s="308"/>
      <c r="FR5" s="308"/>
      <c r="FS5" s="308"/>
      <c r="FT5" s="308"/>
      <c r="FU5" s="308"/>
      <c r="FV5" s="308"/>
      <c r="FW5" s="308"/>
      <c r="FX5" s="308"/>
      <c r="FY5" s="308"/>
      <c r="FZ5" s="308"/>
      <c r="GA5" s="308"/>
      <c r="GB5" s="308"/>
      <c r="GC5" s="308"/>
      <c r="GD5" s="308"/>
      <c r="GE5" s="308"/>
      <c r="GF5" s="308"/>
      <c r="GG5" s="308"/>
      <c r="GH5" s="308"/>
      <c r="GI5" s="308"/>
      <c r="GJ5" s="308"/>
      <c r="GK5" s="308"/>
      <c r="GL5" s="308"/>
      <c r="GM5" s="308"/>
      <c r="GN5" s="308"/>
      <c r="GO5" s="308"/>
      <c r="GP5" s="308"/>
      <c r="GQ5" s="308"/>
      <c r="GR5" s="308"/>
      <c r="GS5" s="308"/>
      <c r="GT5" s="308"/>
      <c r="GU5" s="308"/>
      <c r="GV5" s="308"/>
      <c r="GW5" s="308"/>
      <c r="GX5" s="308"/>
      <c r="GY5" s="308"/>
      <c r="GZ5" s="308"/>
      <c r="HA5" s="308"/>
      <c r="HB5" s="308"/>
      <c r="HC5" s="308"/>
      <c r="HD5" s="308"/>
      <c r="HE5" s="308"/>
      <c r="HF5" s="308"/>
      <c r="HG5" s="308"/>
      <c r="HH5" s="308"/>
      <c r="HI5" s="308"/>
      <c r="HJ5" s="308"/>
      <c r="HK5" s="308"/>
      <c r="HL5" s="308"/>
      <c r="HM5" s="308"/>
      <c r="HN5" s="308"/>
      <c r="HO5" s="308"/>
      <c r="HP5" s="308"/>
      <c r="HQ5" s="308"/>
      <c r="HR5" s="308"/>
      <c r="HS5" s="308"/>
      <c r="HT5" s="308"/>
      <c r="HU5" s="308"/>
      <c r="HV5" s="308"/>
      <c r="HW5" s="308"/>
      <c r="HX5" s="308"/>
      <c r="HY5" s="308"/>
      <c r="HZ5" s="308"/>
      <c r="IA5" s="308"/>
      <c r="IB5" s="308"/>
      <c r="IC5" s="308"/>
      <c r="ID5" s="308"/>
      <c r="IE5" s="308"/>
      <c r="IF5" s="308"/>
      <c r="IG5" s="308"/>
      <c r="IH5" s="308"/>
      <c r="II5" s="308"/>
      <c r="IJ5" s="308"/>
      <c r="IK5" s="308"/>
      <c r="IL5" s="308"/>
      <c r="IM5" s="308"/>
      <c r="IN5" s="308"/>
      <c r="IO5" s="308"/>
      <c r="IP5" s="308"/>
      <c r="IQ5" s="308"/>
      <c r="IR5" s="308"/>
      <c r="IS5" s="308"/>
      <c r="IT5" s="308"/>
      <c r="IU5" s="308"/>
      <c r="IV5" s="308"/>
      <c r="IW5" s="308"/>
      <c r="IX5" s="308"/>
      <c r="IY5" s="308"/>
      <c r="IZ5" s="308"/>
    </row>
    <row r="6" spans="1:260" ht="12.95" customHeight="1" x14ac:dyDescent="0.25">
      <c r="A6" s="185">
        <v>206</v>
      </c>
      <c r="B6" s="99" t="s">
        <v>180</v>
      </c>
      <c r="C6" s="99" t="str">
        <f>IF('E1_Données de projet'!C8=0,"",'E1_Données de projet'!C8)</f>
        <v>QMH projet example 2</v>
      </c>
      <c r="D6" s="99"/>
      <c r="E6" s="308"/>
      <c r="F6" s="308"/>
      <c r="G6" s="308"/>
      <c r="H6" s="308"/>
      <c r="I6" s="308"/>
      <c r="J6" s="308"/>
      <c r="K6" s="308"/>
      <c r="L6" s="308"/>
      <c r="M6" s="308"/>
      <c r="N6" s="308"/>
      <c r="O6" s="308"/>
      <c r="P6" s="308"/>
      <c r="Q6" s="308"/>
      <c r="R6" s="308"/>
      <c r="S6" s="308"/>
      <c r="T6" s="308"/>
      <c r="U6" s="308"/>
      <c r="V6" s="308"/>
      <c r="W6" s="308"/>
      <c r="X6" s="308"/>
      <c r="Y6" s="308"/>
      <c r="Z6" s="308"/>
      <c r="AA6" s="308"/>
      <c r="AB6" s="308"/>
      <c r="AC6" s="308"/>
      <c r="AD6" s="308"/>
      <c r="AE6" s="308"/>
      <c r="AF6" s="308"/>
      <c r="AG6" s="308"/>
      <c r="AH6" s="308"/>
      <c r="AI6" s="308"/>
      <c r="AJ6" s="308"/>
      <c r="AK6" s="308"/>
      <c r="AL6" s="308"/>
      <c r="AM6" s="308"/>
      <c r="AN6" s="308"/>
      <c r="AO6" s="308"/>
      <c r="AP6" s="308"/>
      <c r="AQ6" s="308"/>
      <c r="AR6" s="308"/>
      <c r="AS6" s="308"/>
      <c r="AT6" s="308"/>
      <c r="AU6" s="308"/>
      <c r="AV6" s="308"/>
      <c r="AW6" s="308"/>
      <c r="AX6" s="308"/>
      <c r="AY6" s="308"/>
      <c r="AZ6" s="308"/>
      <c r="BA6" s="308"/>
      <c r="BB6" s="308"/>
      <c r="BC6" s="308"/>
      <c r="BD6" s="308"/>
      <c r="BE6" s="308"/>
      <c r="BF6" s="308"/>
      <c r="BG6" s="308"/>
      <c r="BH6" s="308"/>
      <c r="BI6" s="308"/>
      <c r="BJ6" s="308"/>
      <c r="BK6" s="308"/>
      <c r="BL6" s="308"/>
      <c r="BM6" s="308"/>
      <c r="BN6" s="308"/>
      <c r="BO6" s="308"/>
      <c r="BP6" s="308"/>
      <c r="BQ6" s="308"/>
      <c r="BR6" s="308"/>
      <c r="BS6" s="308"/>
      <c r="BT6" s="308"/>
      <c r="BU6" s="308"/>
      <c r="BV6" s="308"/>
      <c r="BW6" s="308"/>
      <c r="BX6" s="308"/>
      <c r="BY6" s="308"/>
      <c r="BZ6" s="308"/>
      <c r="CA6" s="308"/>
      <c r="CB6" s="308"/>
      <c r="CC6" s="308"/>
      <c r="CD6" s="308"/>
      <c r="CE6" s="308"/>
      <c r="CF6" s="308"/>
      <c r="CG6" s="308"/>
      <c r="CH6" s="308"/>
      <c r="CI6" s="308"/>
      <c r="CJ6" s="308"/>
      <c r="CK6" s="308"/>
      <c r="CL6" s="308"/>
      <c r="CM6" s="308"/>
      <c r="CN6" s="308"/>
      <c r="CO6" s="308"/>
      <c r="CP6" s="308"/>
      <c r="CQ6" s="308"/>
      <c r="CR6" s="308"/>
      <c r="CS6" s="308"/>
      <c r="CT6" s="308"/>
      <c r="CU6" s="308"/>
      <c r="CV6" s="308"/>
      <c r="CW6" s="308"/>
      <c r="CX6" s="308"/>
      <c r="CY6" s="308"/>
      <c r="CZ6" s="308"/>
      <c r="DA6" s="308"/>
      <c r="DB6" s="308"/>
      <c r="DC6" s="308"/>
      <c r="DD6" s="308"/>
      <c r="DE6" s="308"/>
      <c r="DF6" s="308"/>
      <c r="DG6" s="308"/>
      <c r="DH6" s="308"/>
      <c r="DI6" s="308"/>
      <c r="DJ6" s="308"/>
      <c r="DK6" s="308"/>
      <c r="DL6" s="308"/>
      <c r="DM6" s="308"/>
      <c r="DN6" s="308"/>
      <c r="DO6" s="308"/>
      <c r="DP6" s="308"/>
      <c r="DQ6" s="308"/>
      <c r="DR6" s="308"/>
      <c r="DS6" s="308"/>
      <c r="DT6" s="308"/>
      <c r="DU6" s="308"/>
      <c r="DV6" s="308"/>
      <c r="DW6" s="308"/>
      <c r="DX6" s="308"/>
      <c r="DY6" s="308"/>
      <c r="DZ6" s="308"/>
      <c r="EA6" s="308"/>
      <c r="EB6" s="308"/>
      <c r="EC6" s="308"/>
      <c r="ED6" s="308"/>
      <c r="EE6" s="308"/>
      <c r="EF6" s="308"/>
      <c r="EG6" s="308"/>
      <c r="EH6" s="308"/>
      <c r="EI6" s="308"/>
      <c r="EJ6" s="308"/>
      <c r="EK6" s="308"/>
      <c r="EL6" s="308"/>
      <c r="EM6" s="308"/>
      <c r="EN6" s="308"/>
      <c r="EO6" s="308"/>
      <c r="EP6" s="308"/>
      <c r="EQ6" s="308"/>
      <c r="ER6" s="308"/>
      <c r="ES6" s="308"/>
      <c r="ET6" s="308"/>
      <c r="EU6" s="308"/>
      <c r="EV6" s="308"/>
      <c r="EW6" s="308"/>
      <c r="EX6" s="308"/>
      <c r="EY6" s="308"/>
      <c r="EZ6" s="308"/>
      <c r="FA6" s="308"/>
      <c r="FB6" s="308"/>
      <c r="FC6" s="308"/>
      <c r="FD6" s="308"/>
      <c r="FE6" s="308"/>
      <c r="FF6" s="308"/>
      <c r="FG6" s="308"/>
      <c r="FH6" s="308"/>
      <c r="FI6" s="308"/>
      <c r="FJ6" s="308"/>
      <c r="FK6" s="308"/>
      <c r="FL6" s="308"/>
      <c r="FM6" s="308"/>
      <c r="FN6" s="308"/>
      <c r="FO6" s="308"/>
      <c r="FP6" s="308"/>
      <c r="FQ6" s="308"/>
      <c r="FR6" s="308"/>
      <c r="FS6" s="308"/>
      <c r="FT6" s="308"/>
      <c r="FU6" s="308"/>
      <c r="FV6" s="308"/>
      <c r="FW6" s="308"/>
      <c r="FX6" s="308"/>
      <c r="FY6" s="308"/>
      <c r="FZ6" s="308"/>
      <c r="GA6" s="308"/>
      <c r="GB6" s="308"/>
      <c r="GC6" s="308"/>
      <c r="GD6" s="308"/>
      <c r="GE6" s="308"/>
      <c r="GF6" s="308"/>
      <c r="GG6" s="308"/>
      <c r="GH6" s="308"/>
      <c r="GI6" s="308"/>
      <c r="GJ6" s="308"/>
      <c r="GK6" s="308"/>
      <c r="GL6" s="308"/>
      <c r="GM6" s="308"/>
      <c r="GN6" s="308"/>
      <c r="GO6" s="308"/>
      <c r="GP6" s="308"/>
      <c r="GQ6" s="308"/>
      <c r="GR6" s="308"/>
      <c r="GS6" s="308"/>
      <c r="GT6" s="308"/>
      <c r="GU6" s="308"/>
      <c r="GV6" s="308"/>
      <c r="GW6" s="308"/>
      <c r="GX6" s="308"/>
      <c r="GY6" s="308"/>
      <c r="GZ6" s="308"/>
      <c r="HA6" s="308"/>
      <c r="HB6" s="308"/>
      <c r="HC6" s="308"/>
      <c r="HD6" s="308"/>
      <c r="HE6" s="308"/>
      <c r="HF6" s="308"/>
      <c r="HG6" s="308"/>
      <c r="HH6" s="308"/>
      <c r="HI6" s="308"/>
      <c r="HJ6" s="308"/>
      <c r="HK6" s="308"/>
      <c r="HL6" s="308"/>
      <c r="HM6" s="308"/>
      <c r="HN6" s="308"/>
      <c r="HO6" s="308"/>
      <c r="HP6" s="308"/>
      <c r="HQ6" s="308"/>
      <c r="HR6" s="308"/>
      <c r="HS6" s="308"/>
      <c r="HT6" s="308"/>
      <c r="HU6" s="308"/>
      <c r="HV6" s="308"/>
      <c r="HW6" s="308"/>
      <c r="HX6" s="308"/>
      <c r="HY6" s="308"/>
      <c r="HZ6" s="308"/>
      <c r="IA6" s="308"/>
      <c r="IB6" s="308"/>
      <c r="IC6" s="308"/>
      <c r="ID6" s="308"/>
      <c r="IE6" s="308"/>
      <c r="IF6" s="308"/>
      <c r="IG6" s="308"/>
      <c r="IH6" s="308"/>
      <c r="II6" s="308"/>
      <c r="IJ6" s="308"/>
      <c r="IK6" s="308"/>
      <c r="IL6" s="308"/>
      <c r="IM6" s="308"/>
      <c r="IN6" s="308"/>
      <c r="IO6" s="308"/>
      <c r="IP6" s="308"/>
      <c r="IQ6" s="308"/>
      <c r="IR6" s="308"/>
      <c r="IS6" s="308"/>
      <c r="IT6" s="308"/>
      <c r="IU6" s="308"/>
      <c r="IV6" s="308"/>
      <c r="IW6" s="308"/>
      <c r="IX6" s="308"/>
      <c r="IY6" s="308"/>
      <c r="IZ6" s="308"/>
    </row>
    <row r="7" spans="1:260" ht="12.95" customHeight="1" x14ac:dyDescent="0.25">
      <c r="A7" s="309"/>
      <c r="B7" s="99"/>
      <c r="C7" s="99" t="str">
        <f>IF('E1_Données de projet'!C9=0,"",'E1_Données de projet'!C9)</f>
        <v>Modèle de rentabilité</v>
      </c>
      <c r="D7" s="308"/>
      <c r="E7" s="308"/>
      <c r="F7" s="308"/>
      <c r="G7" s="308"/>
      <c r="H7" s="308"/>
      <c r="I7" s="308"/>
      <c r="J7" s="308"/>
      <c r="K7" s="308"/>
      <c r="L7" s="308"/>
      <c r="M7" s="308"/>
      <c r="N7" s="308"/>
      <c r="O7" s="308"/>
      <c r="P7" s="308"/>
      <c r="Q7" s="308"/>
      <c r="R7" s="308"/>
      <c r="S7" s="308"/>
      <c r="T7" s="308"/>
      <c r="U7" s="308"/>
      <c r="V7" s="308"/>
      <c r="W7" s="308"/>
      <c r="X7" s="308"/>
      <c r="Y7" s="308"/>
      <c r="Z7" s="308"/>
      <c r="AA7" s="308"/>
      <c r="AB7" s="308"/>
      <c r="AC7" s="308"/>
      <c r="AD7" s="308"/>
      <c r="AE7" s="308"/>
      <c r="AF7" s="308"/>
      <c r="AG7" s="308"/>
      <c r="AH7" s="308"/>
      <c r="AI7" s="308"/>
      <c r="AJ7" s="308"/>
      <c r="AK7" s="308"/>
      <c r="AL7" s="308"/>
      <c r="AM7" s="308"/>
      <c r="AN7" s="308"/>
      <c r="AO7" s="308"/>
      <c r="AP7" s="308"/>
      <c r="AQ7" s="308"/>
      <c r="AR7" s="308"/>
      <c r="AS7" s="308"/>
      <c r="AT7" s="308"/>
      <c r="AU7" s="308"/>
      <c r="AV7" s="308"/>
      <c r="AW7" s="308"/>
      <c r="AX7" s="308"/>
      <c r="AY7" s="308"/>
      <c r="AZ7" s="308"/>
      <c r="BA7" s="308"/>
      <c r="BB7" s="308"/>
      <c r="BC7" s="308"/>
      <c r="BD7" s="308"/>
      <c r="BE7" s="308"/>
      <c r="BF7" s="308"/>
      <c r="BG7" s="308"/>
      <c r="BH7" s="308"/>
      <c r="BI7" s="308"/>
      <c r="BJ7" s="308"/>
      <c r="BK7" s="308"/>
      <c r="BL7" s="308"/>
      <c r="BM7" s="308"/>
      <c r="BN7" s="308"/>
      <c r="BO7" s="308"/>
      <c r="BP7" s="308"/>
      <c r="BQ7" s="308"/>
      <c r="BR7" s="308"/>
      <c r="BS7" s="308"/>
      <c r="BT7" s="308"/>
      <c r="BU7" s="308"/>
      <c r="BV7" s="308"/>
      <c r="BW7" s="308"/>
      <c r="BX7" s="308"/>
      <c r="BY7" s="308"/>
      <c r="BZ7" s="308"/>
      <c r="CA7" s="308"/>
      <c r="CB7" s="308"/>
      <c r="CC7" s="308"/>
      <c r="CD7" s="308"/>
      <c r="CE7" s="308"/>
      <c r="CF7" s="308"/>
      <c r="CG7" s="308"/>
      <c r="CH7" s="308"/>
      <c r="CI7" s="308"/>
      <c r="CJ7" s="308"/>
      <c r="CK7" s="308"/>
      <c r="CL7" s="308"/>
      <c r="CM7" s="308"/>
      <c r="CN7" s="308"/>
      <c r="CO7" s="308"/>
      <c r="CP7" s="308"/>
      <c r="CQ7" s="308"/>
      <c r="CR7" s="308"/>
      <c r="CS7" s="308"/>
      <c r="CT7" s="308"/>
      <c r="CU7" s="308"/>
      <c r="CV7" s="308"/>
      <c r="CW7" s="308"/>
      <c r="CX7" s="308"/>
      <c r="CY7" s="308"/>
      <c r="CZ7" s="308"/>
      <c r="DA7" s="308"/>
      <c r="DB7" s="308"/>
      <c r="DC7" s="308"/>
      <c r="DD7" s="308"/>
      <c r="DE7" s="308"/>
      <c r="DF7" s="308"/>
      <c r="DG7" s="308"/>
      <c r="DH7" s="308"/>
      <c r="DI7" s="308"/>
      <c r="DJ7" s="308"/>
      <c r="DK7" s="308"/>
      <c r="DL7" s="308"/>
      <c r="DM7" s="308"/>
      <c r="DN7" s="308"/>
      <c r="DO7" s="308"/>
      <c r="DP7" s="308"/>
      <c r="DQ7" s="308"/>
      <c r="DR7" s="308"/>
      <c r="DS7" s="308"/>
      <c r="DT7" s="308"/>
      <c r="DU7" s="308"/>
      <c r="DV7" s="308"/>
      <c r="DW7" s="308"/>
      <c r="DX7" s="308"/>
      <c r="DY7" s="308"/>
      <c r="DZ7" s="308"/>
      <c r="EA7" s="308"/>
      <c r="EB7" s="308"/>
      <c r="EC7" s="308"/>
      <c r="ED7" s="308"/>
      <c r="EE7" s="308"/>
      <c r="EF7" s="308"/>
      <c r="EG7" s="308"/>
      <c r="EH7" s="308"/>
      <c r="EI7" s="308"/>
      <c r="EJ7" s="308"/>
      <c r="EK7" s="308"/>
      <c r="EL7" s="308"/>
      <c r="EM7" s="308"/>
      <c r="EN7" s="308"/>
      <c r="EO7" s="308"/>
      <c r="EP7" s="308"/>
      <c r="EQ7" s="308"/>
      <c r="ER7" s="308"/>
      <c r="ES7" s="308"/>
      <c r="ET7" s="308"/>
      <c r="EU7" s="308"/>
      <c r="EV7" s="308"/>
      <c r="EW7" s="308"/>
      <c r="EX7" s="308"/>
      <c r="EY7" s="308"/>
      <c r="EZ7" s="308"/>
      <c r="FA7" s="308"/>
      <c r="FB7" s="308"/>
      <c r="FC7" s="308"/>
      <c r="FD7" s="308"/>
      <c r="FE7" s="308"/>
      <c r="FF7" s="308"/>
      <c r="FG7" s="308"/>
      <c r="FH7" s="308"/>
      <c r="FI7" s="308"/>
      <c r="FJ7" s="308"/>
      <c r="FK7" s="308"/>
      <c r="FL7" s="308"/>
      <c r="FM7" s="308"/>
      <c r="FN7" s="308"/>
      <c r="FO7" s="308"/>
      <c r="FP7" s="308"/>
      <c r="FQ7" s="308"/>
      <c r="FR7" s="308"/>
      <c r="FS7" s="308"/>
      <c r="FT7" s="308"/>
      <c r="FU7" s="308"/>
      <c r="FV7" s="308"/>
      <c r="FW7" s="308"/>
      <c r="FX7" s="308"/>
      <c r="FY7" s="308"/>
      <c r="FZ7" s="308"/>
      <c r="GA7" s="308"/>
      <c r="GB7" s="308"/>
      <c r="GC7" s="308"/>
      <c r="GD7" s="308"/>
      <c r="GE7" s="308"/>
      <c r="GF7" s="308"/>
      <c r="GG7" s="308"/>
      <c r="GH7" s="308"/>
      <c r="GI7" s="308"/>
      <c r="GJ7" s="308"/>
      <c r="GK7" s="308"/>
      <c r="GL7" s="308"/>
      <c r="GM7" s="308"/>
      <c r="GN7" s="308"/>
      <c r="GO7" s="308"/>
      <c r="GP7" s="308"/>
      <c r="GQ7" s="308"/>
      <c r="GR7" s="308"/>
      <c r="GS7" s="308"/>
      <c r="GT7" s="308"/>
      <c r="GU7" s="308"/>
      <c r="GV7" s="308"/>
      <c r="GW7" s="308"/>
      <c r="GX7" s="308"/>
      <c r="GY7" s="308"/>
      <c r="GZ7" s="308"/>
      <c r="HA7" s="308"/>
      <c r="HB7" s="308"/>
      <c r="HC7" s="308"/>
      <c r="HD7" s="308"/>
      <c r="HE7" s="308"/>
      <c r="HF7" s="308"/>
      <c r="HG7" s="308"/>
      <c r="HH7" s="308"/>
      <c r="HI7" s="308"/>
      <c r="HJ7" s="308"/>
      <c r="HK7" s="308"/>
      <c r="HL7" s="308"/>
      <c r="HM7" s="308"/>
      <c r="HN7" s="308"/>
      <c r="HO7" s="308"/>
      <c r="HP7" s="308"/>
      <c r="HQ7" s="308"/>
      <c r="HR7" s="308"/>
      <c r="HS7" s="308"/>
      <c r="HT7" s="308"/>
      <c r="HU7" s="308"/>
      <c r="HV7" s="308"/>
      <c r="HW7" s="308"/>
      <c r="HX7" s="308"/>
      <c r="HY7" s="308"/>
      <c r="HZ7" s="308"/>
      <c r="IA7" s="308"/>
      <c r="IB7" s="308"/>
      <c r="IC7" s="308"/>
      <c r="ID7" s="308"/>
      <c r="IE7" s="308"/>
      <c r="IF7" s="308"/>
      <c r="IG7" s="308"/>
      <c r="IH7" s="308"/>
      <c r="II7" s="308"/>
      <c r="IJ7" s="308"/>
      <c r="IK7" s="308"/>
      <c r="IL7" s="308"/>
      <c r="IM7" s="308"/>
      <c r="IN7" s="308"/>
      <c r="IO7" s="308"/>
      <c r="IP7" s="308"/>
      <c r="IQ7" s="308"/>
      <c r="IR7" s="308"/>
      <c r="IS7" s="308"/>
      <c r="IT7" s="308"/>
      <c r="IU7" s="308"/>
      <c r="IV7" s="308"/>
      <c r="IW7" s="308"/>
      <c r="IX7" s="308"/>
      <c r="IY7" s="308"/>
      <c r="IZ7" s="308"/>
    </row>
    <row r="8" spans="1:260" ht="12.95" customHeight="1" x14ac:dyDescent="0.25">
      <c r="A8" s="309"/>
      <c r="B8" s="99"/>
      <c r="C8" s="99" t="str">
        <f>IF('E1_Données de projet'!C10=0,"",'E1_Données de projet'!C10)</f>
        <v>CP / lieu</v>
      </c>
      <c r="D8" s="308"/>
      <c r="E8" s="308"/>
      <c r="F8" s="308"/>
      <c r="G8" s="308"/>
      <c r="H8" s="308"/>
      <c r="I8" s="308"/>
      <c r="J8" s="308"/>
      <c r="K8" s="308"/>
      <c r="L8" s="308"/>
      <c r="M8" s="308"/>
      <c r="N8" s="308"/>
      <c r="O8" s="308"/>
      <c r="P8" s="308"/>
      <c r="Q8" s="308"/>
      <c r="R8" s="308"/>
      <c r="S8" s="308"/>
      <c r="T8" s="308"/>
      <c r="U8" s="308"/>
      <c r="V8" s="308"/>
      <c r="W8" s="308"/>
      <c r="X8" s="308"/>
      <c r="Y8" s="308"/>
      <c r="Z8" s="308"/>
      <c r="AA8" s="308"/>
      <c r="AB8" s="308"/>
      <c r="AC8" s="308"/>
      <c r="AD8" s="308"/>
      <c r="AE8" s="308"/>
      <c r="AF8" s="308"/>
      <c r="AG8" s="308"/>
      <c r="AH8" s="308"/>
      <c r="AI8" s="308"/>
      <c r="AJ8" s="308"/>
      <c r="AK8" s="308"/>
      <c r="AL8" s="308"/>
      <c r="AM8" s="308"/>
      <c r="AN8" s="308"/>
      <c r="AO8" s="308"/>
      <c r="AP8" s="308"/>
      <c r="AQ8" s="308"/>
      <c r="AR8" s="308"/>
      <c r="AS8" s="308"/>
      <c r="AT8" s="308"/>
      <c r="AU8" s="308"/>
      <c r="AV8" s="308"/>
      <c r="AW8" s="308"/>
      <c r="AX8" s="308"/>
      <c r="AY8" s="308"/>
      <c r="AZ8" s="308"/>
      <c r="BA8" s="308"/>
      <c r="BB8" s="308"/>
      <c r="BC8" s="308"/>
      <c r="BD8" s="308"/>
      <c r="BE8" s="308"/>
      <c r="BF8" s="308"/>
      <c r="BG8" s="308"/>
      <c r="BH8" s="308"/>
      <c r="BI8" s="308"/>
      <c r="BJ8" s="308"/>
      <c r="BK8" s="308"/>
      <c r="BL8" s="308"/>
      <c r="BM8" s="308"/>
      <c r="BN8" s="308"/>
      <c r="BO8" s="308"/>
      <c r="BP8" s="308"/>
      <c r="BQ8" s="308"/>
      <c r="BR8" s="308"/>
      <c r="BS8" s="308"/>
      <c r="BT8" s="308"/>
      <c r="BU8" s="308"/>
      <c r="BV8" s="308"/>
      <c r="BW8" s="308"/>
      <c r="BX8" s="308"/>
      <c r="BY8" s="308"/>
      <c r="BZ8" s="308"/>
      <c r="CA8" s="308"/>
      <c r="CB8" s="308"/>
      <c r="CC8" s="308"/>
      <c r="CD8" s="308"/>
      <c r="CE8" s="308"/>
      <c r="CF8" s="308"/>
      <c r="CG8" s="308"/>
      <c r="CH8" s="308"/>
      <c r="CI8" s="308"/>
      <c r="CJ8" s="308"/>
      <c r="CK8" s="308"/>
      <c r="CL8" s="308"/>
      <c r="CM8" s="308"/>
      <c r="CN8" s="308"/>
      <c r="CO8" s="308"/>
      <c r="CP8" s="308"/>
      <c r="CQ8" s="308"/>
      <c r="CR8" s="308"/>
      <c r="CS8" s="308"/>
      <c r="CT8" s="308"/>
      <c r="CU8" s="308"/>
      <c r="CV8" s="308"/>
      <c r="CW8" s="308"/>
      <c r="CX8" s="308"/>
      <c r="CY8" s="308"/>
      <c r="CZ8" s="308"/>
      <c r="DA8" s="308"/>
      <c r="DB8" s="308"/>
      <c r="DC8" s="308"/>
      <c r="DD8" s="308"/>
      <c r="DE8" s="308"/>
      <c r="DF8" s="308"/>
      <c r="DG8" s="308"/>
      <c r="DH8" s="308"/>
      <c r="DI8" s="308"/>
      <c r="DJ8" s="308"/>
      <c r="DK8" s="308"/>
      <c r="DL8" s="308"/>
      <c r="DM8" s="308"/>
      <c r="DN8" s="308"/>
      <c r="DO8" s="308"/>
      <c r="DP8" s="308"/>
      <c r="DQ8" s="308"/>
      <c r="DR8" s="308"/>
      <c r="DS8" s="308"/>
      <c r="DT8" s="308"/>
      <c r="DU8" s="308"/>
      <c r="DV8" s="308"/>
      <c r="DW8" s="308"/>
      <c r="DX8" s="308"/>
      <c r="DY8" s="308"/>
      <c r="DZ8" s="308"/>
      <c r="EA8" s="308"/>
      <c r="EB8" s="308"/>
      <c r="EC8" s="308"/>
      <c r="ED8" s="308"/>
      <c r="EE8" s="308"/>
      <c r="EF8" s="308"/>
      <c r="EG8" s="308"/>
      <c r="EH8" s="308"/>
      <c r="EI8" s="308"/>
      <c r="EJ8" s="308"/>
      <c r="EK8" s="308"/>
      <c r="EL8" s="308"/>
      <c r="EM8" s="308"/>
      <c r="EN8" s="308"/>
      <c r="EO8" s="308"/>
      <c r="EP8" s="308"/>
      <c r="EQ8" s="308"/>
      <c r="ER8" s="308"/>
      <c r="ES8" s="308"/>
      <c r="ET8" s="308"/>
      <c r="EU8" s="308"/>
      <c r="EV8" s="308"/>
      <c r="EW8" s="308"/>
      <c r="EX8" s="308"/>
      <c r="EY8" s="308"/>
      <c r="EZ8" s="308"/>
      <c r="FA8" s="308"/>
      <c r="FB8" s="308"/>
      <c r="FC8" s="308"/>
      <c r="FD8" s="308"/>
      <c r="FE8" s="308"/>
      <c r="FF8" s="308"/>
      <c r="FG8" s="308"/>
      <c r="FH8" s="308"/>
      <c r="FI8" s="308"/>
      <c r="FJ8" s="308"/>
      <c r="FK8" s="308"/>
      <c r="FL8" s="308"/>
      <c r="FM8" s="308"/>
      <c r="FN8" s="308"/>
      <c r="FO8" s="308"/>
      <c r="FP8" s="308"/>
      <c r="FQ8" s="308"/>
      <c r="FR8" s="308"/>
      <c r="FS8" s="308"/>
      <c r="FT8" s="308"/>
      <c r="FU8" s="308"/>
      <c r="FV8" s="308"/>
      <c r="FW8" s="308"/>
      <c r="FX8" s="308"/>
      <c r="FY8" s="308"/>
      <c r="FZ8" s="308"/>
      <c r="GA8" s="308"/>
      <c r="GB8" s="308"/>
      <c r="GC8" s="308"/>
      <c r="GD8" s="308"/>
      <c r="GE8" s="308"/>
      <c r="GF8" s="308"/>
      <c r="GG8" s="308"/>
      <c r="GH8" s="308"/>
      <c r="GI8" s="308"/>
      <c r="GJ8" s="308"/>
      <c r="GK8" s="308"/>
      <c r="GL8" s="308"/>
      <c r="GM8" s="308"/>
      <c r="GN8" s="308"/>
      <c r="GO8" s="308"/>
      <c r="GP8" s="308"/>
      <c r="GQ8" s="308"/>
      <c r="GR8" s="308"/>
      <c r="GS8" s="308"/>
      <c r="GT8" s="308"/>
      <c r="GU8" s="308"/>
      <c r="GV8" s="308"/>
      <c r="GW8" s="308"/>
      <c r="GX8" s="308"/>
      <c r="GY8" s="308"/>
      <c r="GZ8" s="308"/>
      <c r="HA8" s="308"/>
      <c r="HB8" s="308"/>
      <c r="HC8" s="308"/>
      <c r="HD8" s="308"/>
      <c r="HE8" s="308"/>
      <c r="HF8" s="308"/>
      <c r="HG8" s="308"/>
      <c r="HH8" s="308"/>
      <c r="HI8" s="308"/>
      <c r="HJ8" s="308"/>
      <c r="HK8" s="308"/>
      <c r="HL8" s="308"/>
      <c r="HM8" s="308"/>
      <c r="HN8" s="308"/>
      <c r="HO8" s="308"/>
      <c r="HP8" s="308"/>
      <c r="HQ8" s="308"/>
      <c r="HR8" s="308"/>
      <c r="HS8" s="308"/>
      <c r="HT8" s="308"/>
      <c r="HU8" s="308"/>
      <c r="HV8" s="308"/>
      <c r="HW8" s="308"/>
      <c r="HX8" s="308"/>
      <c r="HY8" s="308"/>
      <c r="HZ8" s="308"/>
      <c r="IA8" s="308"/>
      <c r="IB8" s="308"/>
      <c r="IC8" s="308"/>
      <c r="ID8" s="308"/>
      <c r="IE8" s="308"/>
      <c r="IF8" s="308"/>
      <c r="IG8" s="308"/>
      <c r="IH8" s="308"/>
      <c r="II8" s="308"/>
      <c r="IJ8" s="308"/>
      <c r="IK8" s="308"/>
      <c r="IL8" s="308"/>
      <c r="IM8" s="308"/>
      <c r="IN8" s="308"/>
      <c r="IO8" s="308"/>
      <c r="IP8" s="308"/>
      <c r="IQ8" s="308"/>
      <c r="IR8" s="308"/>
      <c r="IS8" s="308"/>
      <c r="IT8" s="308"/>
      <c r="IU8" s="308"/>
      <c r="IV8" s="308"/>
      <c r="IW8" s="308"/>
      <c r="IX8" s="308"/>
      <c r="IY8" s="308"/>
      <c r="IZ8" s="308"/>
    </row>
    <row r="9" spans="1:260" ht="12.95" customHeight="1" x14ac:dyDescent="0.25">
      <c r="A9" s="309"/>
      <c r="B9" s="308"/>
      <c r="C9" s="308"/>
      <c r="D9" s="308"/>
      <c r="E9" s="308"/>
      <c r="F9" s="308"/>
      <c r="G9" s="308"/>
      <c r="H9" s="308"/>
      <c r="I9" s="308"/>
      <c r="J9" s="308"/>
      <c r="K9" s="308"/>
      <c r="L9" s="308"/>
      <c r="M9" s="308"/>
      <c r="N9" s="308"/>
      <c r="O9" s="308"/>
      <c r="P9" s="308"/>
      <c r="Q9" s="308"/>
      <c r="R9" s="308"/>
      <c r="S9" s="308"/>
      <c r="T9" s="308"/>
      <c r="U9" s="308"/>
      <c r="V9" s="308"/>
      <c r="W9" s="308"/>
      <c r="X9" s="308"/>
      <c r="Y9" s="308"/>
      <c r="Z9" s="308"/>
      <c r="AA9" s="308"/>
      <c r="AB9" s="308"/>
      <c r="AC9" s="308"/>
      <c r="AD9" s="308"/>
      <c r="AE9" s="308"/>
      <c r="AF9" s="308"/>
      <c r="AG9" s="308"/>
      <c r="AH9" s="308"/>
      <c r="AI9" s="308"/>
      <c r="AJ9" s="308"/>
      <c r="AK9" s="308"/>
      <c r="AL9" s="308"/>
      <c r="AM9" s="308"/>
      <c r="AN9" s="308"/>
      <c r="AO9" s="308"/>
      <c r="AP9" s="308"/>
      <c r="AQ9" s="308"/>
      <c r="AR9" s="308"/>
      <c r="AS9" s="308"/>
      <c r="AT9" s="308"/>
      <c r="AU9" s="308"/>
      <c r="AV9" s="308"/>
      <c r="AW9" s="308"/>
      <c r="AX9" s="308"/>
      <c r="AY9" s="308"/>
      <c r="AZ9" s="308"/>
      <c r="BA9" s="308"/>
      <c r="BB9" s="308"/>
      <c r="BC9" s="308"/>
      <c r="BD9" s="308"/>
      <c r="BE9" s="308"/>
      <c r="BF9" s="308"/>
      <c r="BG9" s="308"/>
      <c r="BH9" s="308"/>
      <c r="BI9" s="308"/>
      <c r="BJ9" s="308"/>
      <c r="BK9" s="308"/>
      <c r="BL9" s="308"/>
      <c r="BM9" s="308"/>
      <c r="BN9" s="308"/>
      <c r="BO9" s="308"/>
      <c r="BP9" s="308"/>
      <c r="BQ9" s="308"/>
      <c r="BR9" s="308"/>
      <c r="BS9" s="308"/>
      <c r="BT9" s="308"/>
      <c r="BU9" s="308"/>
      <c r="BV9" s="308"/>
      <c r="BW9" s="308"/>
      <c r="BX9" s="308"/>
      <c r="BY9" s="308"/>
      <c r="BZ9" s="308"/>
      <c r="CA9" s="308"/>
      <c r="CB9" s="308"/>
      <c r="CC9" s="308"/>
      <c r="CD9" s="308"/>
      <c r="CE9" s="308"/>
      <c r="CF9" s="308"/>
      <c r="CG9" s="308"/>
      <c r="CH9" s="308"/>
      <c r="CI9" s="308"/>
      <c r="CJ9" s="308"/>
      <c r="CK9" s="308"/>
      <c r="CL9" s="308"/>
      <c r="CM9" s="308"/>
      <c r="CN9" s="308"/>
      <c r="CO9" s="308"/>
      <c r="CP9" s="308"/>
      <c r="CQ9" s="308"/>
      <c r="CR9" s="308"/>
      <c r="CS9" s="308"/>
      <c r="CT9" s="308"/>
      <c r="CU9" s="308"/>
      <c r="CV9" s="308"/>
      <c r="CW9" s="308"/>
      <c r="CX9" s="308"/>
      <c r="CY9" s="308"/>
      <c r="CZ9" s="308"/>
      <c r="DA9" s="308"/>
      <c r="DB9" s="308"/>
      <c r="DC9" s="308"/>
      <c r="DD9" s="308"/>
      <c r="DE9" s="308"/>
      <c r="DF9" s="308"/>
      <c r="DG9" s="308"/>
      <c r="DH9" s="308"/>
      <c r="DI9" s="308"/>
      <c r="DJ9" s="308"/>
      <c r="DK9" s="308"/>
      <c r="DL9" s="308"/>
      <c r="DM9" s="308"/>
      <c r="DN9" s="308"/>
      <c r="DO9" s="308"/>
      <c r="DP9" s="308"/>
      <c r="DQ9" s="308"/>
      <c r="DR9" s="308"/>
      <c r="DS9" s="308"/>
      <c r="DT9" s="308"/>
      <c r="DU9" s="308"/>
      <c r="DV9" s="308"/>
      <c r="DW9" s="308"/>
      <c r="DX9" s="308"/>
      <c r="DY9" s="308"/>
      <c r="DZ9" s="308"/>
      <c r="EA9" s="308"/>
      <c r="EB9" s="308"/>
      <c r="EC9" s="308"/>
      <c r="ED9" s="308"/>
      <c r="EE9" s="308"/>
      <c r="EF9" s="308"/>
      <c r="EG9" s="308"/>
      <c r="EH9" s="308"/>
      <c r="EI9" s="308"/>
      <c r="EJ9" s="308"/>
      <c r="EK9" s="308"/>
      <c r="EL9" s="308"/>
      <c r="EM9" s="308"/>
      <c r="EN9" s="308"/>
      <c r="EO9" s="308"/>
      <c r="EP9" s="308"/>
      <c r="EQ9" s="308"/>
      <c r="ER9" s="308"/>
      <c r="ES9" s="308"/>
      <c r="ET9" s="308"/>
      <c r="EU9" s="308"/>
      <c r="EV9" s="308"/>
      <c r="EW9" s="308"/>
      <c r="EX9" s="308"/>
      <c r="EY9" s="308"/>
      <c r="EZ9" s="308"/>
      <c r="FA9" s="308"/>
      <c r="FB9" s="308"/>
      <c r="FC9" s="308"/>
      <c r="FD9" s="308"/>
      <c r="FE9" s="308"/>
      <c r="FF9" s="308"/>
      <c r="FG9" s="308"/>
      <c r="FH9" s="308"/>
      <c r="FI9" s="308"/>
      <c r="FJ9" s="308"/>
      <c r="FK9" s="308"/>
      <c r="FL9" s="308"/>
      <c r="FM9" s="308"/>
      <c r="FN9" s="308"/>
      <c r="FO9" s="308"/>
      <c r="FP9" s="308"/>
      <c r="FQ9" s="308"/>
      <c r="FR9" s="308"/>
      <c r="FS9" s="308"/>
      <c r="FT9" s="308"/>
      <c r="FU9" s="308"/>
      <c r="FV9" s="308"/>
      <c r="FW9" s="308"/>
      <c r="FX9" s="308"/>
      <c r="FY9" s="308"/>
      <c r="FZ9" s="308"/>
      <c r="GA9" s="308"/>
      <c r="GB9" s="308"/>
      <c r="GC9" s="308"/>
      <c r="GD9" s="308"/>
      <c r="GE9" s="308"/>
      <c r="GF9" s="308"/>
      <c r="GG9" s="308"/>
      <c r="GH9" s="308"/>
      <c r="GI9" s="308"/>
      <c r="GJ9" s="308"/>
      <c r="GK9" s="308"/>
      <c r="GL9" s="308"/>
      <c r="GM9" s="308"/>
      <c r="GN9" s="308"/>
      <c r="GO9" s="308"/>
      <c r="GP9" s="308"/>
      <c r="GQ9" s="308"/>
      <c r="GR9" s="308"/>
      <c r="GS9" s="308"/>
      <c r="GT9" s="308"/>
      <c r="GU9" s="308"/>
      <c r="GV9" s="308"/>
      <c r="GW9" s="308"/>
      <c r="GX9" s="308"/>
      <c r="GY9" s="308"/>
      <c r="GZ9" s="308"/>
      <c r="HA9" s="308"/>
      <c r="HB9" s="308"/>
      <c r="HC9" s="308"/>
      <c r="HD9" s="308"/>
      <c r="HE9" s="308"/>
      <c r="HF9" s="308"/>
      <c r="HG9" s="308"/>
      <c r="HH9" s="308"/>
      <c r="HI9" s="308"/>
      <c r="HJ9" s="308"/>
      <c r="HK9" s="308"/>
      <c r="HL9" s="308"/>
      <c r="HM9" s="308"/>
      <c r="HN9" s="308"/>
      <c r="HO9" s="308"/>
      <c r="HP9" s="308"/>
      <c r="HQ9" s="308"/>
      <c r="HR9" s="308"/>
      <c r="HS9" s="308"/>
      <c r="HT9" s="308"/>
      <c r="HU9" s="308"/>
      <c r="HV9" s="308"/>
      <c r="HW9" s="308"/>
      <c r="HX9" s="308"/>
      <c r="HY9" s="308"/>
      <c r="HZ9" s="308"/>
      <c r="IA9" s="308"/>
      <c r="IB9" s="308"/>
      <c r="IC9" s="308"/>
      <c r="ID9" s="308"/>
      <c r="IE9" s="308"/>
      <c r="IF9" s="308"/>
      <c r="IG9" s="308"/>
      <c r="IH9" s="308"/>
      <c r="II9" s="308"/>
      <c r="IJ9" s="308"/>
      <c r="IK9" s="308"/>
      <c r="IL9" s="308"/>
      <c r="IM9" s="308"/>
      <c r="IN9" s="308"/>
      <c r="IO9" s="308"/>
      <c r="IP9" s="308"/>
      <c r="IQ9" s="308"/>
      <c r="IR9" s="308"/>
      <c r="IS9" s="308"/>
      <c r="IT9" s="308"/>
      <c r="IU9" s="308"/>
      <c r="IV9" s="308"/>
      <c r="IW9" s="308"/>
      <c r="IX9" s="308"/>
      <c r="IY9" s="308"/>
      <c r="IZ9" s="308"/>
    </row>
    <row r="10" spans="1:260" ht="12.95" customHeight="1" x14ac:dyDescent="0.25">
      <c r="A10" s="179">
        <v>207</v>
      </c>
      <c r="B10" s="101" t="s">
        <v>181</v>
      </c>
      <c r="C10" s="308" t="str">
        <f>IF('E1_Données de projet'!C12=0,"",'E1_Données de projet'!C12)</f>
        <v>date, nome</v>
      </c>
      <c r="D10" s="308"/>
      <c r="E10" s="308"/>
      <c r="F10" s="308"/>
      <c r="G10" s="308"/>
      <c r="H10" s="308"/>
      <c r="I10" s="308"/>
      <c r="J10" s="308"/>
      <c r="K10" s="308"/>
      <c r="L10" s="308"/>
      <c r="M10" s="308"/>
      <c r="N10" s="308"/>
      <c r="O10" s="308"/>
      <c r="P10" s="308"/>
      <c r="Q10" s="308"/>
      <c r="R10" s="308"/>
      <c r="S10" s="308"/>
      <c r="T10" s="308"/>
      <c r="U10" s="308"/>
      <c r="V10" s="308"/>
      <c r="W10" s="308"/>
      <c r="X10" s="308"/>
      <c r="Y10" s="308"/>
      <c r="Z10" s="308"/>
      <c r="AA10" s="308"/>
      <c r="AB10" s="308"/>
      <c r="AC10" s="308"/>
      <c r="AD10" s="308"/>
      <c r="AE10" s="308"/>
      <c r="AF10" s="308"/>
      <c r="AG10" s="308"/>
      <c r="AH10" s="308"/>
      <c r="AI10" s="308"/>
      <c r="AJ10" s="308"/>
      <c r="AK10" s="308"/>
      <c r="AL10" s="308"/>
      <c r="AM10" s="308"/>
      <c r="AN10" s="308"/>
      <c r="AO10" s="308"/>
      <c r="AP10" s="308"/>
      <c r="AQ10" s="308"/>
      <c r="AR10" s="308"/>
      <c r="AS10" s="308"/>
      <c r="AT10" s="308"/>
      <c r="AU10" s="308"/>
      <c r="AV10" s="308"/>
      <c r="AW10" s="308"/>
      <c r="AX10" s="308"/>
      <c r="AY10" s="308"/>
      <c r="AZ10" s="308"/>
      <c r="BA10" s="308"/>
      <c r="BB10" s="308"/>
      <c r="BC10" s="308"/>
      <c r="BD10" s="308"/>
      <c r="BE10" s="308"/>
      <c r="BF10" s="308"/>
      <c r="BG10" s="308"/>
      <c r="BH10" s="308"/>
      <c r="BI10" s="308"/>
      <c r="BJ10" s="308"/>
      <c r="BK10" s="308"/>
      <c r="BL10" s="308"/>
      <c r="BM10" s="308"/>
      <c r="BN10" s="308"/>
      <c r="BO10" s="308"/>
      <c r="BP10" s="308"/>
      <c r="BQ10" s="308"/>
      <c r="BR10" s="308"/>
      <c r="BS10" s="308"/>
      <c r="BT10" s="308"/>
      <c r="BU10" s="308"/>
      <c r="BV10" s="308"/>
      <c r="BW10" s="308"/>
      <c r="BX10" s="308"/>
      <c r="BY10" s="308"/>
      <c r="BZ10" s="308"/>
      <c r="CA10" s="308"/>
      <c r="CB10" s="308"/>
      <c r="CC10" s="308"/>
      <c r="CD10" s="308"/>
      <c r="CE10" s="308"/>
      <c r="CF10" s="308"/>
      <c r="CG10" s="308"/>
      <c r="CH10" s="308"/>
      <c r="CI10" s="308"/>
      <c r="CJ10" s="308"/>
      <c r="CK10" s="308"/>
      <c r="CL10" s="308"/>
      <c r="CM10" s="308"/>
      <c r="CN10" s="308"/>
      <c r="CO10" s="308"/>
      <c r="CP10" s="308"/>
      <c r="CQ10" s="308"/>
      <c r="CR10" s="308"/>
      <c r="CS10" s="308"/>
      <c r="CT10" s="308"/>
      <c r="CU10" s="308"/>
      <c r="CV10" s="308"/>
      <c r="CW10" s="308"/>
      <c r="CX10" s="308"/>
      <c r="CY10" s="308"/>
      <c r="CZ10" s="308"/>
      <c r="DA10" s="308"/>
      <c r="DB10" s="308"/>
      <c r="DC10" s="308"/>
      <c r="DD10" s="308"/>
      <c r="DE10" s="308"/>
      <c r="DF10" s="308"/>
      <c r="DG10" s="308"/>
      <c r="DH10" s="308"/>
      <c r="DI10" s="308"/>
      <c r="DJ10" s="308"/>
      <c r="DK10" s="308"/>
      <c r="DL10" s="308"/>
      <c r="DM10" s="308"/>
      <c r="DN10" s="308"/>
      <c r="DO10" s="308"/>
      <c r="DP10" s="308"/>
      <c r="DQ10" s="308"/>
      <c r="DR10" s="308"/>
      <c r="DS10" s="308"/>
      <c r="DT10" s="308"/>
      <c r="DU10" s="308"/>
      <c r="DV10" s="308"/>
      <c r="DW10" s="308"/>
      <c r="DX10" s="308"/>
      <c r="DY10" s="308"/>
      <c r="DZ10" s="308"/>
      <c r="EA10" s="308"/>
      <c r="EB10" s="308"/>
      <c r="EC10" s="308"/>
      <c r="ED10" s="308"/>
      <c r="EE10" s="308"/>
      <c r="EF10" s="308"/>
      <c r="EG10" s="308"/>
      <c r="EH10" s="308"/>
      <c r="EI10" s="308"/>
      <c r="EJ10" s="308"/>
      <c r="EK10" s="308"/>
      <c r="EL10" s="308"/>
      <c r="EM10" s="308"/>
      <c r="EN10" s="308"/>
      <c r="EO10" s="308"/>
      <c r="EP10" s="308"/>
      <c r="EQ10" s="308"/>
      <c r="ER10" s="308"/>
      <c r="ES10" s="308"/>
      <c r="ET10" s="308"/>
      <c r="EU10" s="308"/>
      <c r="EV10" s="308"/>
      <c r="EW10" s="308"/>
      <c r="EX10" s="308"/>
      <c r="EY10" s="308"/>
      <c r="EZ10" s="308"/>
      <c r="FA10" s="308"/>
      <c r="FB10" s="308"/>
      <c r="FC10" s="308"/>
      <c r="FD10" s="308"/>
      <c r="FE10" s="308"/>
      <c r="FF10" s="308"/>
      <c r="FG10" s="308"/>
      <c r="FH10" s="308"/>
      <c r="FI10" s="308"/>
      <c r="FJ10" s="308"/>
      <c r="FK10" s="308"/>
      <c r="FL10" s="308"/>
      <c r="FM10" s="308"/>
      <c r="FN10" s="308"/>
      <c r="FO10" s="308"/>
      <c r="FP10" s="308"/>
      <c r="FQ10" s="308"/>
      <c r="FR10" s="308"/>
      <c r="FS10" s="308"/>
      <c r="FT10" s="308"/>
      <c r="FU10" s="308"/>
      <c r="FV10" s="308"/>
      <c r="FW10" s="308"/>
      <c r="FX10" s="308"/>
      <c r="FY10" s="308"/>
      <c r="FZ10" s="308"/>
      <c r="GA10" s="308"/>
      <c r="GB10" s="308"/>
      <c r="GC10" s="308"/>
      <c r="GD10" s="308"/>
      <c r="GE10" s="308"/>
      <c r="GF10" s="308"/>
      <c r="GG10" s="308"/>
      <c r="GH10" s="308"/>
      <c r="GI10" s="308"/>
      <c r="GJ10" s="308"/>
      <c r="GK10" s="308"/>
      <c r="GL10" s="308"/>
      <c r="GM10" s="308"/>
      <c r="GN10" s="308"/>
      <c r="GO10" s="308"/>
      <c r="GP10" s="308"/>
      <c r="GQ10" s="308"/>
      <c r="GR10" s="308"/>
      <c r="GS10" s="308"/>
      <c r="GT10" s="308"/>
      <c r="GU10" s="308"/>
      <c r="GV10" s="308"/>
      <c r="GW10" s="308"/>
      <c r="GX10" s="308"/>
      <c r="GY10" s="308"/>
      <c r="GZ10" s="308"/>
      <c r="HA10" s="308"/>
      <c r="HB10" s="308"/>
      <c r="HC10" s="308"/>
      <c r="HD10" s="308"/>
      <c r="HE10" s="308"/>
      <c r="HF10" s="308"/>
      <c r="HG10" s="308"/>
      <c r="HH10" s="308"/>
      <c r="HI10" s="308"/>
      <c r="HJ10" s="308"/>
      <c r="HK10" s="308"/>
      <c r="HL10" s="308"/>
      <c r="HM10" s="308"/>
      <c r="HN10" s="308"/>
      <c r="HO10" s="308"/>
      <c r="HP10" s="308"/>
      <c r="HQ10" s="308"/>
      <c r="HR10" s="308"/>
      <c r="HS10" s="308"/>
      <c r="HT10" s="308"/>
      <c r="HU10" s="308"/>
      <c r="HV10" s="308"/>
      <c r="HW10" s="308"/>
      <c r="HX10" s="308"/>
      <c r="HY10" s="308"/>
      <c r="HZ10" s="308"/>
      <c r="IA10" s="308"/>
      <c r="IB10" s="308"/>
      <c r="IC10" s="308"/>
      <c r="ID10" s="308"/>
      <c r="IE10" s="308"/>
      <c r="IF10" s="308"/>
      <c r="IG10" s="308"/>
      <c r="IH10" s="308"/>
      <c r="II10" s="308"/>
      <c r="IJ10" s="308"/>
      <c r="IK10" s="308"/>
      <c r="IL10" s="308"/>
      <c r="IM10" s="308"/>
      <c r="IN10" s="308"/>
      <c r="IO10" s="308"/>
      <c r="IP10" s="308"/>
      <c r="IQ10" s="308"/>
      <c r="IR10" s="308"/>
      <c r="IS10" s="308"/>
      <c r="IT10" s="308"/>
      <c r="IU10" s="308"/>
      <c r="IV10" s="308"/>
      <c r="IW10" s="308"/>
      <c r="IX10" s="308"/>
      <c r="IY10" s="308"/>
      <c r="IZ10" s="308"/>
    </row>
    <row r="11" spans="1:260" ht="12.95" customHeight="1" x14ac:dyDescent="0.25">
      <c r="A11" s="309"/>
      <c r="B11" s="308"/>
      <c r="C11" s="308"/>
      <c r="D11" s="308"/>
      <c r="E11" s="308"/>
      <c r="F11" s="308"/>
      <c r="G11" s="308"/>
      <c r="H11" s="308"/>
      <c r="I11" s="308"/>
      <c r="J11" s="308"/>
      <c r="K11" s="308"/>
      <c r="L11" s="308"/>
      <c r="M11" s="308"/>
      <c r="N11" s="308"/>
      <c r="O11" s="308"/>
      <c r="P11" s="308"/>
      <c r="Q11" s="308"/>
      <c r="R11" s="308"/>
      <c r="S11" s="308"/>
      <c r="T11" s="308"/>
      <c r="U11" s="308"/>
      <c r="V11" s="308"/>
      <c r="W11" s="308"/>
      <c r="X11" s="308"/>
      <c r="Y11" s="308"/>
      <c r="Z11" s="308"/>
      <c r="AA11" s="308"/>
      <c r="AB11" s="308"/>
      <c r="AC11" s="308"/>
      <c r="AD11" s="308"/>
      <c r="AE11" s="308"/>
      <c r="AF11" s="308"/>
      <c r="AG11" s="308"/>
      <c r="AH11" s="308"/>
      <c r="AI11" s="308"/>
      <c r="AJ11" s="308"/>
      <c r="AK11" s="308"/>
      <c r="AL11" s="308"/>
      <c r="AM11" s="308"/>
      <c r="AN11" s="308"/>
      <c r="AO11" s="308"/>
      <c r="AP11" s="308"/>
      <c r="AQ11" s="308"/>
      <c r="AR11" s="308"/>
      <c r="AS11" s="308"/>
      <c r="AT11" s="308"/>
      <c r="AU11" s="308"/>
      <c r="AV11" s="308"/>
      <c r="AW11" s="308"/>
      <c r="AX11" s="308"/>
      <c r="AY11" s="308"/>
      <c r="AZ11" s="308"/>
      <c r="BA11" s="308"/>
      <c r="BB11" s="308"/>
      <c r="BC11" s="308"/>
      <c r="BD11" s="308"/>
      <c r="BE11" s="308"/>
      <c r="BF11" s="308"/>
      <c r="BG11" s="308"/>
      <c r="BH11" s="308"/>
      <c r="BI11" s="308"/>
      <c r="BJ11" s="308"/>
      <c r="BK11" s="308"/>
      <c r="BL11" s="308"/>
      <c r="BM11" s="308"/>
      <c r="BN11" s="308"/>
      <c r="BO11" s="308"/>
      <c r="BP11" s="308"/>
      <c r="BQ11" s="308"/>
      <c r="BR11" s="308"/>
      <c r="BS11" s="308"/>
      <c r="BT11" s="308"/>
      <c r="BU11" s="308"/>
      <c r="BV11" s="308"/>
      <c r="BW11" s="308"/>
      <c r="BX11" s="308"/>
      <c r="BY11" s="308"/>
      <c r="BZ11" s="308"/>
      <c r="CA11" s="308"/>
      <c r="CB11" s="308"/>
      <c r="CC11" s="308"/>
      <c r="CD11" s="308"/>
      <c r="CE11" s="308"/>
      <c r="CF11" s="308"/>
      <c r="CG11" s="308"/>
      <c r="CH11" s="308"/>
      <c r="CI11" s="308"/>
      <c r="CJ11" s="308"/>
      <c r="CK11" s="308"/>
      <c r="CL11" s="308"/>
      <c r="CM11" s="308"/>
      <c r="CN11" s="308"/>
      <c r="CO11" s="308"/>
      <c r="CP11" s="308"/>
      <c r="CQ11" s="308"/>
      <c r="CR11" s="308"/>
      <c r="CS11" s="308"/>
      <c r="CT11" s="308"/>
      <c r="CU11" s="308"/>
      <c r="CV11" s="308"/>
      <c r="CW11" s="308"/>
      <c r="CX11" s="308"/>
      <c r="CY11" s="308"/>
      <c r="CZ11" s="308"/>
      <c r="DA11" s="308"/>
      <c r="DB11" s="308"/>
      <c r="DC11" s="308"/>
      <c r="DD11" s="308"/>
      <c r="DE11" s="308"/>
      <c r="DF11" s="308"/>
      <c r="DG11" s="308"/>
      <c r="DH11" s="308"/>
      <c r="DI11" s="308"/>
      <c r="DJ11" s="308"/>
      <c r="DK11" s="308"/>
      <c r="DL11" s="308"/>
      <c r="DM11" s="308"/>
      <c r="DN11" s="308"/>
      <c r="DO11" s="308"/>
      <c r="DP11" s="308"/>
      <c r="DQ11" s="308"/>
      <c r="DR11" s="308"/>
      <c r="DS11" s="308"/>
      <c r="DT11" s="308"/>
      <c r="DU11" s="308"/>
      <c r="DV11" s="308"/>
      <c r="DW11" s="308"/>
      <c r="DX11" s="308"/>
      <c r="DY11" s="308"/>
      <c r="DZ11" s="308"/>
      <c r="EA11" s="308"/>
      <c r="EB11" s="308"/>
      <c r="EC11" s="308"/>
      <c r="ED11" s="308"/>
      <c r="EE11" s="308"/>
      <c r="EF11" s="308"/>
      <c r="EG11" s="308"/>
      <c r="EH11" s="308"/>
      <c r="EI11" s="308"/>
      <c r="EJ11" s="308"/>
      <c r="EK11" s="308"/>
      <c r="EL11" s="308"/>
      <c r="EM11" s="308"/>
      <c r="EN11" s="308"/>
      <c r="EO11" s="308"/>
      <c r="EP11" s="308"/>
      <c r="EQ11" s="308"/>
      <c r="ER11" s="308"/>
      <c r="ES11" s="308"/>
      <c r="ET11" s="308"/>
      <c r="EU11" s="308"/>
      <c r="EV11" s="308"/>
      <c r="EW11" s="308"/>
      <c r="EX11" s="308"/>
      <c r="EY11" s="308"/>
      <c r="EZ11" s="308"/>
      <c r="FA11" s="308"/>
      <c r="FB11" s="308"/>
      <c r="FC11" s="308"/>
      <c r="FD11" s="308"/>
      <c r="FE11" s="308"/>
      <c r="FF11" s="308"/>
      <c r="FG11" s="308"/>
      <c r="FH11" s="308"/>
      <c r="FI11" s="308"/>
      <c r="FJ11" s="308"/>
      <c r="FK11" s="308"/>
      <c r="FL11" s="308"/>
      <c r="FM11" s="308"/>
      <c r="FN11" s="308"/>
      <c r="FO11" s="308"/>
      <c r="FP11" s="308"/>
      <c r="FQ11" s="308"/>
      <c r="FR11" s="308"/>
      <c r="FS11" s="308"/>
      <c r="FT11" s="308"/>
      <c r="FU11" s="308"/>
      <c r="FV11" s="308"/>
      <c r="FW11" s="308"/>
      <c r="FX11" s="308"/>
      <c r="FY11" s="308"/>
      <c r="FZ11" s="308"/>
      <c r="GA11" s="308"/>
      <c r="GB11" s="308"/>
      <c r="GC11" s="308"/>
      <c r="GD11" s="308"/>
      <c r="GE11" s="308"/>
      <c r="GF11" s="308"/>
      <c r="GG11" s="308"/>
      <c r="GH11" s="308"/>
      <c r="GI11" s="308"/>
      <c r="GJ11" s="308"/>
      <c r="GK11" s="308"/>
      <c r="GL11" s="308"/>
      <c r="GM11" s="308"/>
      <c r="GN11" s="308"/>
      <c r="GO11" s="308"/>
      <c r="GP11" s="308"/>
      <c r="GQ11" s="308"/>
      <c r="GR11" s="308"/>
      <c r="GS11" s="308"/>
      <c r="GT11" s="308"/>
      <c r="GU11" s="308"/>
      <c r="GV11" s="308"/>
      <c r="GW11" s="308"/>
      <c r="GX11" s="308"/>
      <c r="GY11" s="308"/>
      <c r="GZ11" s="308"/>
      <c r="HA11" s="308"/>
      <c r="HB11" s="308"/>
      <c r="HC11" s="308"/>
      <c r="HD11" s="308"/>
      <c r="HE11" s="308"/>
      <c r="HF11" s="308"/>
      <c r="HG11" s="308"/>
      <c r="HH11" s="308"/>
      <c r="HI11" s="308"/>
      <c r="HJ11" s="308"/>
      <c r="HK11" s="308"/>
      <c r="HL11" s="308"/>
      <c r="HM11" s="308"/>
      <c r="HN11" s="308"/>
      <c r="HO11" s="308"/>
      <c r="HP11" s="308"/>
      <c r="HQ11" s="308"/>
      <c r="HR11" s="308"/>
      <c r="HS11" s="308"/>
      <c r="HT11" s="308"/>
      <c r="HU11" s="308"/>
      <c r="HV11" s="308"/>
      <c r="HW11" s="308"/>
      <c r="HX11" s="308"/>
      <c r="HY11" s="308"/>
      <c r="HZ11" s="308"/>
      <c r="IA11" s="308"/>
      <c r="IB11" s="308"/>
      <c r="IC11" s="308"/>
      <c r="ID11" s="308"/>
      <c r="IE11" s="308"/>
      <c r="IF11" s="308"/>
      <c r="IG11" s="308"/>
      <c r="IH11" s="308"/>
      <c r="II11" s="308"/>
      <c r="IJ11" s="308"/>
      <c r="IK11" s="308"/>
      <c r="IL11" s="308"/>
      <c r="IM11" s="308"/>
      <c r="IN11" s="308"/>
      <c r="IO11" s="308"/>
      <c r="IP11" s="308"/>
      <c r="IQ11" s="308"/>
      <c r="IR11" s="308"/>
      <c r="IS11" s="308"/>
      <c r="IT11" s="308"/>
      <c r="IU11" s="308"/>
      <c r="IV11" s="308"/>
      <c r="IW11" s="308"/>
      <c r="IX11" s="308"/>
      <c r="IY11" s="308"/>
      <c r="IZ11" s="308"/>
    </row>
    <row r="12" spans="1:260" ht="12.95" customHeight="1" x14ac:dyDescent="0.25">
      <c r="A12" s="179">
        <v>310</v>
      </c>
      <c r="B12" s="99" t="s">
        <v>358</v>
      </c>
      <c r="C12" s="308"/>
      <c r="D12" s="308"/>
      <c r="E12" s="308"/>
      <c r="F12" s="308"/>
      <c r="G12" s="308"/>
      <c r="H12" s="308"/>
      <c r="I12" s="308"/>
      <c r="J12" s="308"/>
      <c r="K12" s="308"/>
      <c r="L12" s="308"/>
      <c r="M12" s="308"/>
      <c r="N12" s="308"/>
      <c r="O12" s="308"/>
      <c r="P12" s="308"/>
      <c r="Q12" s="308"/>
      <c r="R12" s="308"/>
      <c r="S12" s="308"/>
      <c r="T12" s="308"/>
      <c r="U12" s="308"/>
      <c r="V12" s="308"/>
      <c r="W12" s="308"/>
      <c r="X12" s="308"/>
      <c r="Y12" s="308"/>
      <c r="Z12" s="308"/>
      <c r="AA12" s="308"/>
      <c r="AB12" s="308"/>
      <c r="AC12" s="308"/>
      <c r="AD12" s="308"/>
      <c r="AE12" s="308"/>
      <c r="AF12" s="308"/>
      <c r="AG12" s="308"/>
      <c r="AH12" s="308"/>
      <c r="AI12" s="308"/>
      <c r="AJ12" s="308"/>
      <c r="AK12" s="308"/>
      <c r="AL12" s="308"/>
      <c r="AM12" s="308"/>
      <c r="AN12" s="308"/>
      <c r="AO12" s="308"/>
      <c r="AP12" s="308"/>
      <c r="AQ12" s="308"/>
      <c r="AR12" s="308"/>
      <c r="AS12" s="308"/>
      <c r="AT12" s="308"/>
      <c r="AU12" s="308"/>
      <c r="AV12" s="308"/>
      <c r="AW12" s="308"/>
      <c r="AX12" s="308"/>
      <c r="AY12" s="308"/>
      <c r="AZ12" s="308"/>
      <c r="BA12" s="308"/>
      <c r="BB12" s="308"/>
      <c r="BC12" s="308"/>
      <c r="BD12" s="308"/>
      <c r="BE12" s="308"/>
      <c r="BF12" s="308"/>
      <c r="BG12" s="308"/>
      <c r="BH12" s="308"/>
      <c r="BI12" s="308"/>
      <c r="BJ12" s="308"/>
      <c r="BK12" s="308"/>
      <c r="BL12" s="308"/>
      <c r="BM12" s="308"/>
      <c r="BN12" s="308"/>
      <c r="BO12" s="308"/>
      <c r="BP12" s="308"/>
      <c r="BQ12" s="308"/>
      <c r="BR12" s="308"/>
      <c r="BS12" s="308"/>
      <c r="BT12" s="308"/>
      <c r="BU12" s="308"/>
      <c r="BV12" s="308"/>
      <c r="BW12" s="308"/>
      <c r="BX12" s="308"/>
      <c r="BY12" s="308"/>
      <c r="BZ12" s="308"/>
      <c r="CA12" s="308"/>
      <c r="CB12" s="308"/>
      <c r="CC12" s="308"/>
      <c r="CD12" s="308"/>
      <c r="CE12" s="308"/>
      <c r="CF12" s="308"/>
      <c r="CG12" s="308"/>
      <c r="CH12" s="308"/>
      <c r="CI12" s="308"/>
      <c r="CJ12" s="308"/>
      <c r="CK12" s="308"/>
      <c r="CL12" s="308"/>
      <c r="CM12" s="308"/>
      <c r="CN12" s="308"/>
      <c r="CO12" s="308"/>
      <c r="CP12" s="308"/>
      <c r="CQ12" s="308"/>
      <c r="CR12" s="308"/>
      <c r="CS12" s="308"/>
      <c r="CT12" s="308"/>
      <c r="CU12" s="308"/>
      <c r="CV12" s="308"/>
      <c r="CW12" s="308"/>
      <c r="CX12" s="308"/>
      <c r="CY12" s="308"/>
      <c r="CZ12" s="308"/>
      <c r="DA12" s="308"/>
      <c r="DB12" s="308"/>
      <c r="DC12" s="308"/>
      <c r="DD12" s="308"/>
      <c r="DE12" s="308"/>
      <c r="DF12" s="308"/>
      <c r="DG12" s="308"/>
      <c r="DH12" s="308"/>
      <c r="DI12" s="308"/>
      <c r="DJ12" s="308"/>
      <c r="DK12" s="308"/>
      <c r="DL12" s="308"/>
      <c r="DM12" s="308"/>
      <c r="DN12" s="308"/>
      <c r="DO12" s="308"/>
      <c r="DP12" s="308"/>
      <c r="DQ12" s="308"/>
      <c r="DR12" s="308"/>
      <c r="DS12" s="308"/>
      <c r="DT12" s="308"/>
      <c r="DU12" s="308"/>
      <c r="DV12" s="308"/>
      <c r="DW12" s="308"/>
      <c r="DX12" s="308"/>
      <c r="DY12" s="308"/>
      <c r="DZ12" s="308"/>
      <c r="EA12" s="308"/>
      <c r="EB12" s="308"/>
      <c r="EC12" s="308"/>
      <c r="ED12" s="308"/>
      <c r="EE12" s="308"/>
      <c r="EF12" s="308"/>
      <c r="EG12" s="308"/>
      <c r="EH12" s="308"/>
      <c r="EI12" s="308"/>
      <c r="EJ12" s="308"/>
      <c r="EK12" s="308"/>
      <c r="EL12" s="308"/>
      <c r="EM12" s="308"/>
      <c r="EN12" s="308"/>
      <c r="EO12" s="308"/>
      <c r="EP12" s="308"/>
      <c r="EQ12" s="308"/>
      <c r="ER12" s="308"/>
      <c r="ES12" s="308"/>
      <c r="ET12" s="308"/>
      <c r="EU12" s="308"/>
      <c r="EV12" s="308"/>
      <c r="EW12" s="308"/>
      <c r="EX12" s="308"/>
      <c r="EY12" s="308"/>
      <c r="EZ12" s="308"/>
      <c r="FA12" s="308"/>
      <c r="FB12" s="308"/>
      <c r="FC12" s="308"/>
      <c r="FD12" s="308"/>
      <c r="FE12" s="308"/>
      <c r="FF12" s="308"/>
      <c r="FG12" s="308"/>
      <c r="FH12" s="308"/>
      <c r="FI12" s="308"/>
      <c r="FJ12" s="308"/>
      <c r="FK12" s="308"/>
      <c r="FL12" s="308"/>
      <c r="FM12" s="308"/>
      <c r="FN12" s="308"/>
      <c r="FO12" s="308"/>
      <c r="FP12" s="308"/>
      <c r="FQ12" s="308"/>
      <c r="FR12" s="308"/>
      <c r="FS12" s="308"/>
      <c r="FT12" s="308"/>
      <c r="FU12" s="308"/>
      <c r="FV12" s="308"/>
      <c r="FW12" s="308"/>
      <c r="FX12" s="308"/>
      <c r="FY12" s="308"/>
      <c r="FZ12" s="308"/>
      <c r="GA12" s="308"/>
      <c r="GB12" s="308"/>
      <c r="GC12" s="308"/>
      <c r="GD12" s="308"/>
      <c r="GE12" s="308"/>
      <c r="GF12" s="308"/>
      <c r="GG12" s="308"/>
      <c r="GH12" s="308"/>
      <c r="GI12" s="308"/>
      <c r="GJ12" s="308"/>
      <c r="GK12" s="308"/>
      <c r="GL12" s="308"/>
      <c r="GM12" s="308"/>
      <c r="GN12" s="308"/>
      <c r="GO12" s="308"/>
      <c r="GP12" s="308"/>
      <c r="GQ12" s="308"/>
      <c r="GR12" s="308"/>
      <c r="GS12" s="308"/>
      <c r="GT12" s="308"/>
      <c r="GU12" s="308"/>
      <c r="GV12" s="308"/>
      <c r="GW12" s="308"/>
      <c r="GX12" s="308"/>
      <c r="GY12" s="308"/>
      <c r="GZ12" s="308"/>
      <c r="HA12" s="308"/>
      <c r="HB12" s="308"/>
      <c r="HC12" s="308"/>
      <c r="HD12" s="308"/>
      <c r="HE12" s="308"/>
      <c r="HF12" s="308"/>
      <c r="HG12" s="308"/>
      <c r="HH12" s="308"/>
      <c r="HI12" s="308"/>
      <c r="HJ12" s="308"/>
      <c r="HK12" s="308"/>
      <c r="HL12" s="308"/>
      <c r="HM12" s="308"/>
      <c r="HN12" s="308"/>
      <c r="HO12" s="308"/>
      <c r="HP12" s="308"/>
      <c r="HQ12" s="308"/>
      <c r="HR12" s="308"/>
      <c r="HS12" s="308"/>
      <c r="HT12" s="308"/>
      <c r="HU12" s="308"/>
      <c r="HV12" s="308"/>
      <c r="HW12" s="308"/>
      <c r="HX12" s="308"/>
      <c r="HY12" s="308"/>
      <c r="HZ12" s="308"/>
      <c r="IA12" s="308"/>
      <c r="IB12" s="308"/>
      <c r="IC12" s="308"/>
      <c r="ID12" s="308"/>
      <c r="IE12" s="308"/>
      <c r="IF12" s="308"/>
      <c r="IG12" s="308"/>
      <c r="IH12" s="308"/>
      <c r="II12" s="308"/>
      <c r="IJ12" s="308"/>
      <c r="IK12" s="308"/>
      <c r="IL12" s="308"/>
      <c r="IM12" s="308"/>
      <c r="IN12" s="308"/>
      <c r="IO12" s="308"/>
      <c r="IP12" s="308"/>
      <c r="IQ12" s="308"/>
      <c r="IR12" s="308"/>
      <c r="IS12" s="308"/>
      <c r="IT12" s="308"/>
      <c r="IU12" s="308"/>
      <c r="IV12" s="308"/>
      <c r="IW12" s="308"/>
      <c r="IX12" s="308"/>
      <c r="IY12" s="308"/>
      <c r="IZ12" s="308"/>
    </row>
    <row r="13" spans="1:260" ht="12.95" customHeight="1" x14ac:dyDescent="0.25">
      <c r="A13" s="309"/>
      <c r="B13" s="308"/>
      <c r="C13" s="308"/>
      <c r="D13" s="308"/>
      <c r="E13" s="308"/>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8"/>
      <c r="AM13" s="308"/>
      <c r="AN13" s="308"/>
      <c r="AO13" s="308"/>
      <c r="AP13" s="308"/>
      <c r="AQ13" s="308"/>
      <c r="AR13" s="308"/>
      <c r="AS13" s="308"/>
      <c r="AT13" s="308"/>
      <c r="AU13" s="308"/>
      <c r="AV13" s="308"/>
      <c r="AW13" s="308"/>
      <c r="AX13" s="308"/>
      <c r="AY13" s="308"/>
      <c r="AZ13" s="308"/>
      <c r="BA13" s="308"/>
      <c r="BB13" s="308"/>
      <c r="BC13" s="308"/>
      <c r="BD13" s="308"/>
      <c r="BE13" s="308"/>
      <c r="BF13" s="308"/>
      <c r="BG13" s="308"/>
      <c r="BH13" s="308"/>
      <c r="BI13" s="308"/>
      <c r="BJ13" s="308"/>
      <c r="BK13" s="308"/>
      <c r="BL13" s="308"/>
      <c r="BM13" s="308"/>
      <c r="BN13" s="308"/>
      <c r="BO13" s="308"/>
      <c r="BP13" s="308"/>
      <c r="BQ13" s="308"/>
      <c r="BR13" s="308"/>
      <c r="BS13" s="308"/>
      <c r="BT13" s="308"/>
      <c r="BU13" s="308"/>
      <c r="BV13" s="308"/>
      <c r="BW13" s="308"/>
      <c r="BX13" s="308"/>
      <c r="BY13" s="308"/>
      <c r="BZ13" s="308"/>
      <c r="CA13" s="308"/>
      <c r="CB13" s="308"/>
      <c r="CC13" s="308"/>
      <c r="CD13" s="308"/>
      <c r="CE13" s="308"/>
      <c r="CF13" s="308"/>
      <c r="CG13" s="308"/>
      <c r="CH13" s="308"/>
      <c r="CI13" s="308"/>
      <c r="CJ13" s="308"/>
      <c r="CK13" s="308"/>
      <c r="CL13" s="308"/>
      <c r="CM13" s="308"/>
      <c r="CN13" s="308"/>
      <c r="CO13" s="308"/>
      <c r="CP13" s="308"/>
      <c r="CQ13" s="308"/>
      <c r="CR13" s="308"/>
      <c r="CS13" s="308"/>
      <c r="CT13" s="308"/>
      <c r="CU13" s="308"/>
      <c r="CV13" s="308"/>
      <c r="CW13" s="308"/>
      <c r="CX13" s="308"/>
      <c r="CY13" s="308"/>
      <c r="CZ13" s="308"/>
      <c r="DA13" s="308"/>
      <c r="DB13" s="308"/>
      <c r="DC13" s="308"/>
      <c r="DD13" s="308"/>
      <c r="DE13" s="308"/>
      <c r="DF13" s="308"/>
      <c r="DG13" s="308"/>
      <c r="DH13" s="308"/>
      <c r="DI13" s="308"/>
      <c r="DJ13" s="308"/>
      <c r="DK13" s="308"/>
      <c r="DL13" s="308"/>
      <c r="DM13" s="308"/>
      <c r="DN13" s="308"/>
      <c r="DO13" s="308"/>
      <c r="DP13" s="308"/>
      <c r="DQ13" s="308"/>
      <c r="DR13" s="308"/>
      <c r="DS13" s="308"/>
      <c r="DT13" s="308"/>
      <c r="DU13" s="308"/>
      <c r="DV13" s="308"/>
      <c r="DW13" s="308"/>
      <c r="DX13" s="308"/>
      <c r="DY13" s="308"/>
      <c r="DZ13" s="308"/>
      <c r="EA13" s="308"/>
      <c r="EB13" s="308"/>
      <c r="EC13" s="308"/>
      <c r="ED13" s="308"/>
      <c r="EE13" s="308"/>
      <c r="EF13" s="308"/>
      <c r="EG13" s="308"/>
      <c r="EH13" s="308"/>
      <c r="EI13" s="308"/>
      <c r="EJ13" s="308"/>
      <c r="EK13" s="308"/>
      <c r="EL13" s="308"/>
      <c r="EM13" s="308"/>
      <c r="EN13" s="308"/>
      <c r="EO13" s="308"/>
      <c r="EP13" s="308"/>
      <c r="EQ13" s="308"/>
      <c r="ER13" s="308"/>
      <c r="ES13" s="308"/>
      <c r="ET13" s="308"/>
      <c r="EU13" s="308"/>
      <c r="EV13" s="308"/>
      <c r="EW13" s="308"/>
      <c r="EX13" s="308"/>
      <c r="EY13" s="308"/>
      <c r="EZ13" s="308"/>
      <c r="FA13" s="308"/>
      <c r="FB13" s="308"/>
      <c r="FC13" s="308"/>
      <c r="FD13" s="308"/>
      <c r="FE13" s="308"/>
      <c r="FF13" s="308"/>
      <c r="FG13" s="308"/>
      <c r="FH13" s="308"/>
      <c r="FI13" s="308"/>
      <c r="FJ13" s="308"/>
      <c r="FK13" s="308"/>
      <c r="FL13" s="308"/>
      <c r="FM13" s="308"/>
      <c r="FN13" s="308"/>
      <c r="FO13" s="308"/>
      <c r="FP13" s="308"/>
      <c r="FQ13" s="308"/>
      <c r="FR13" s="308"/>
      <c r="FS13" s="308"/>
      <c r="FT13" s="308"/>
      <c r="FU13" s="308"/>
      <c r="FV13" s="308"/>
      <c r="FW13" s="308"/>
      <c r="FX13" s="308"/>
      <c r="FY13" s="308"/>
      <c r="FZ13" s="308"/>
      <c r="GA13" s="308"/>
      <c r="GB13" s="308"/>
      <c r="GC13" s="308"/>
      <c r="GD13" s="308"/>
      <c r="GE13" s="308"/>
      <c r="GF13" s="308"/>
      <c r="GG13" s="308"/>
      <c r="GH13" s="308"/>
      <c r="GI13" s="308"/>
      <c r="GJ13" s="308"/>
      <c r="GK13" s="308"/>
      <c r="GL13" s="308"/>
      <c r="GM13" s="308"/>
      <c r="GN13" s="308"/>
      <c r="GO13" s="308"/>
      <c r="GP13" s="308"/>
      <c r="GQ13" s="308"/>
      <c r="GR13" s="308"/>
      <c r="GS13" s="308"/>
      <c r="GT13" s="308"/>
      <c r="GU13" s="308"/>
      <c r="GV13" s="308"/>
      <c r="GW13" s="308"/>
      <c r="GX13" s="308"/>
      <c r="GY13" s="308"/>
      <c r="GZ13" s="308"/>
      <c r="HA13" s="308"/>
      <c r="HB13" s="308"/>
      <c r="HC13" s="308"/>
      <c r="HD13" s="308"/>
      <c r="HE13" s="308"/>
      <c r="HF13" s="308"/>
      <c r="HG13" s="308"/>
      <c r="HH13" s="308"/>
      <c r="HI13" s="308"/>
      <c r="HJ13" s="308"/>
      <c r="HK13" s="308"/>
      <c r="HL13" s="308"/>
      <c r="HM13" s="308"/>
      <c r="HN13" s="308"/>
      <c r="HO13" s="308"/>
      <c r="HP13" s="308"/>
      <c r="HQ13" s="308"/>
      <c r="HR13" s="308"/>
      <c r="HS13" s="308"/>
      <c r="HT13" s="308"/>
      <c r="HU13" s="308"/>
      <c r="HV13" s="308"/>
      <c r="HW13" s="308"/>
      <c r="HX13" s="308"/>
      <c r="HY13" s="308"/>
      <c r="HZ13" s="308"/>
      <c r="IA13" s="308"/>
      <c r="IB13" s="308"/>
      <c r="IC13" s="308"/>
      <c r="ID13" s="308"/>
      <c r="IE13" s="308"/>
      <c r="IF13" s="308"/>
      <c r="IG13" s="308"/>
      <c r="IH13" s="308"/>
      <c r="II13" s="308"/>
      <c r="IJ13" s="308"/>
      <c r="IK13" s="308"/>
      <c r="IL13" s="308"/>
      <c r="IM13" s="308"/>
      <c r="IN13" s="308"/>
      <c r="IO13" s="308"/>
      <c r="IP13" s="308"/>
      <c r="IQ13" s="308"/>
      <c r="IR13" s="308"/>
      <c r="IS13" s="308"/>
      <c r="IT13" s="308"/>
      <c r="IU13" s="308"/>
      <c r="IV13" s="308"/>
      <c r="IW13" s="308"/>
      <c r="IX13" s="308"/>
      <c r="IY13" s="308"/>
      <c r="IZ13" s="308"/>
    </row>
    <row r="14" spans="1:260" s="102" customFormat="1" ht="12.95" customHeight="1" x14ac:dyDescent="0.25">
      <c r="A14" s="179">
        <v>311</v>
      </c>
      <c r="B14" s="297" t="s">
        <v>359</v>
      </c>
      <c r="C14" s="298" t="s">
        <v>360</v>
      </c>
      <c r="D14" s="310">
        <v>1</v>
      </c>
      <c r="E14" s="310">
        <v>2</v>
      </c>
      <c r="F14" s="310">
        <v>3</v>
      </c>
      <c r="G14" s="310">
        <v>4</v>
      </c>
      <c r="H14" s="310">
        <v>5</v>
      </c>
      <c r="I14" s="310">
        <v>6</v>
      </c>
      <c r="J14" s="310">
        <v>7</v>
      </c>
      <c r="K14" s="310">
        <v>8</v>
      </c>
      <c r="L14" s="310">
        <v>9</v>
      </c>
      <c r="M14" s="310">
        <v>10</v>
      </c>
      <c r="N14" s="310">
        <v>11</v>
      </c>
      <c r="O14" s="310">
        <v>12</v>
      </c>
      <c r="P14" s="310">
        <v>13</v>
      </c>
      <c r="Q14" s="310">
        <v>14</v>
      </c>
      <c r="R14" s="310">
        <v>15</v>
      </c>
      <c r="S14" s="310">
        <v>16</v>
      </c>
      <c r="T14" s="310">
        <v>17</v>
      </c>
      <c r="U14" s="310">
        <v>18</v>
      </c>
      <c r="V14" s="310">
        <v>19</v>
      </c>
      <c r="W14" s="310">
        <v>20</v>
      </c>
      <c r="X14" s="310">
        <v>21</v>
      </c>
      <c r="Y14" s="310">
        <v>22</v>
      </c>
      <c r="Z14" s="310">
        <v>23</v>
      </c>
      <c r="AA14" s="310">
        <v>24</v>
      </c>
      <c r="AB14" s="310">
        <v>25</v>
      </c>
      <c r="AC14" s="310">
        <v>26</v>
      </c>
      <c r="AD14" s="310">
        <v>27</v>
      </c>
      <c r="AE14" s="310">
        <v>28</v>
      </c>
      <c r="AF14" s="310"/>
      <c r="AG14" s="310"/>
      <c r="AH14" s="310"/>
      <c r="AI14" s="310"/>
      <c r="AJ14" s="310"/>
      <c r="AK14" s="310"/>
      <c r="AL14" s="310"/>
      <c r="AM14" s="310"/>
      <c r="AN14" s="310"/>
      <c r="AO14" s="310"/>
      <c r="AP14" s="310"/>
      <c r="AQ14" s="310"/>
      <c r="AR14" s="310"/>
      <c r="AS14" s="310"/>
      <c r="AT14" s="310"/>
      <c r="AU14" s="310"/>
      <c r="AV14" s="310"/>
      <c r="AW14" s="310"/>
      <c r="AX14" s="310"/>
      <c r="AY14" s="310"/>
      <c r="AZ14" s="310"/>
      <c r="BA14" s="310"/>
      <c r="BB14" s="310"/>
      <c r="BC14" s="310"/>
      <c r="BD14" s="310"/>
      <c r="BE14" s="310"/>
      <c r="BF14" s="310"/>
      <c r="BG14" s="310"/>
      <c r="BH14" s="310"/>
      <c r="BI14" s="310"/>
      <c r="BJ14" s="310"/>
      <c r="BK14" s="310"/>
      <c r="BL14" s="310"/>
      <c r="BM14" s="310"/>
      <c r="BN14" s="310"/>
      <c r="BO14" s="310"/>
      <c r="BP14" s="310"/>
      <c r="BQ14" s="310"/>
      <c r="BR14" s="310"/>
      <c r="BS14" s="310"/>
      <c r="BT14" s="310"/>
      <c r="BU14" s="310"/>
      <c r="BV14" s="310"/>
      <c r="BW14" s="310"/>
      <c r="BX14" s="310"/>
      <c r="BY14" s="310"/>
      <c r="BZ14" s="310"/>
      <c r="CA14" s="310"/>
      <c r="CB14" s="310"/>
      <c r="CC14" s="310"/>
      <c r="CD14" s="310"/>
      <c r="CE14" s="310"/>
      <c r="CF14" s="310"/>
      <c r="CG14" s="310"/>
      <c r="CH14" s="310"/>
      <c r="CI14" s="310"/>
      <c r="CJ14" s="310"/>
      <c r="CK14" s="310"/>
      <c r="CL14" s="310"/>
      <c r="CM14" s="310"/>
      <c r="CN14" s="310"/>
      <c r="CO14" s="310"/>
      <c r="CP14" s="310"/>
      <c r="CQ14" s="310"/>
      <c r="CR14" s="310"/>
      <c r="CS14" s="310"/>
      <c r="CT14" s="310"/>
      <c r="CU14" s="310"/>
      <c r="CV14" s="310"/>
      <c r="CW14" s="310"/>
      <c r="CX14" s="310"/>
      <c r="CY14" s="310"/>
      <c r="CZ14" s="310"/>
      <c r="DA14" s="310"/>
      <c r="DB14" s="310"/>
      <c r="DC14" s="310"/>
      <c r="DD14" s="310"/>
      <c r="DE14" s="310"/>
      <c r="DF14" s="310"/>
      <c r="DG14" s="310"/>
      <c r="DH14" s="310"/>
      <c r="DI14" s="310"/>
      <c r="DJ14" s="310"/>
      <c r="DK14" s="310"/>
      <c r="DL14" s="310"/>
      <c r="DM14" s="310"/>
      <c r="DN14" s="310"/>
      <c r="DO14" s="310"/>
      <c r="DP14" s="310"/>
      <c r="DQ14" s="310"/>
      <c r="DR14" s="310"/>
      <c r="DS14" s="310"/>
      <c r="DT14" s="310"/>
      <c r="DU14" s="310"/>
      <c r="DV14" s="310"/>
      <c r="DW14" s="310"/>
      <c r="DX14" s="310"/>
      <c r="DY14" s="310"/>
      <c r="DZ14" s="310"/>
      <c r="EA14" s="310"/>
      <c r="EB14" s="310"/>
      <c r="EC14" s="310"/>
      <c r="ED14" s="310"/>
      <c r="EE14" s="310"/>
      <c r="EF14" s="310"/>
      <c r="EG14" s="310"/>
      <c r="EH14" s="310"/>
      <c r="EI14" s="310"/>
      <c r="EJ14" s="310"/>
      <c r="EK14" s="310"/>
      <c r="EL14" s="310"/>
      <c r="EM14" s="310"/>
      <c r="EN14" s="310"/>
      <c r="EO14" s="310"/>
      <c r="EP14" s="310"/>
      <c r="EQ14" s="310"/>
      <c r="ER14" s="310"/>
      <c r="ES14" s="310"/>
      <c r="ET14" s="310"/>
      <c r="EU14" s="310"/>
      <c r="EV14" s="310"/>
      <c r="EW14" s="310"/>
      <c r="EX14" s="310"/>
      <c r="EY14" s="310"/>
      <c r="EZ14" s="310"/>
      <c r="FA14" s="310"/>
      <c r="FB14" s="310"/>
      <c r="FC14" s="310"/>
      <c r="FD14" s="310"/>
      <c r="FE14" s="310"/>
      <c r="FF14" s="310"/>
      <c r="FG14" s="310"/>
      <c r="FH14" s="310"/>
      <c r="FI14" s="310"/>
      <c r="FJ14" s="310"/>
      <c r="FK14" s="310"/>
      <c r="FL14" s="310"/>
      <c r="FM14" s="310"/>
      <c r="FN14" s="310"/>
      <c r="FO14" s="310"/>
      <c r="FP14" s="310"/>
      <c r="FQ14" s="310"/>
      <c r="FR14" s="310"/>
      <c r="FS14" s="310"/>
      <c r="FT14" s="310"/>
      <c r="FU14" s="310"/>
      <c r="FV14" s="310"/>
      <c r="FW14" s="310"/>
      <c r="FX14" s="310"/>
      <c r="FY14" s="310"/>
      <c r="FZ14" s="310"/>
      <c r="GA14" s="310"/>
      <c r="GB14" s="310"/>
      <c r="GC14" s="310"/>
      <c r="GD14" s="310"/>
      <c r="GE14" s="310"/>
      <c r="GF14" s="310"/>
      <c r="GG14" s="310"/>
      <c r="GH14" s="310"/>
      <c r="GI14" s="310"/>
      <c r="GJ14" s="310"/>
      <c r="GK14" s="310"/>
      <c r="GL14" s="310"/>
      <c r="GM14" s="310"/>
      <c r="GN14" s="310"/>
      <c r="GO14" s="310"/>
      <c r="GP14" s="310"/>
      <c r="GQ14" s="310"/>
      <c r="GR14" s="310"/>
      <c r="GS14" s="310"/>
      <c r="GT14" s="310"/>
      <c r="GU14" s="310"/>
      <c r="GV14" s="310"/>
      <c r="GW14" s="310"/>
      <c r="GX14" s="310"/>
      <c r="GY14" s="310"/>
      <c r="GZ14" s="310"/>
      <c r="HA14" s="310"/>
      <c r="HB14" s="310"/>
      <c r="HC14" s="310"/>
      <c r="HD14" s="310"/>
      <c r="HE14" s="310"/>
      <c r="HF14" s="310"/>
      <c r="HG14" s="310"/>
      <c r="HH14" s="310"/>
      <c r="HI14" s="310"/>
      <c r="HJ14" s="310"/>
      <c r="HK14" s="310"/>
      <c r="HL14" s="310"/>
      <c r="HM14" s="310"/>
      <c r="HN14" s="310"/>
      <c r="HO14" s="310"/>
      <c r="HP14" s="310"/>
      <c r="HQ14" s="310"/>
      <c r="HR14" s="310"/>
      <c r="HS14" s="310"/>
      <c r="HT14" s="310"/>
      <c r="HU14" s="310"/>
      <c r="HV14" s="310"/>
      <c r="HW14" s="310"/>
      <c r="HX14" s="310"/>
      <c r="HY14" s="310"/>
      <c r="HZ14" s="310"/>
      <c r="IA14" s="310"/>
      <c r="IB14" s="310"/>
      <c r="IC14" s="310"/>
      <c r="ID14" s="310"/>
      <c r="IE14" s="310"/>
      <c r="IF14" s="310"/>
      <c r="IG14" s="310"/>
      <c r="IH14" s="310"/>
      <c r="II14" s="310"/>
      <c r="IJ14" s="310"/>
      <c r="IK14" s="310"/>
      <c r="IL14" s="310"/>
      <c r="IM14" s="310"/>
      <c r="IN14" s="310"/>
      <c r="IO14" s="310"/>
      <c r="IP14" s="310"/>
      <c r="IQ14" s="310"/>
      <c r="IR14" s="310"/>
      <c r="IS14" s="310"/>
      <c r="IT14" s="310"/>
      <c r="IU14" s="310"/>
      <c r="IV14" s="310"/>
      <c r="IW14" s="310"/>
      <c r="IX14" s="310"/>
      <c r="IY14" s="310"/>
      <c r="IZ14" s="310"/>
    </row>
    <row r="15" spans="1:260" s="102" customFormat="1" ht="12.95" customHeight="1" x14ac:dyDescent="0.25">
      <c r="A15" s="179">
        <v>312</v>
      </c>
      <c r="B15" s="299"/>
      <c r="C15" s="298" t="s">
        <v>361</v>
      </c>
      <c r="D15" s="310" t="s">
        <v>969</v>
      </c>
      <c r="E15" s="310" t="s">
        <v>970</v>
      </c>
      <c r="F15" s="103" t="s">
        <v>971</v>
      </c>
      <c r="G15" s="103" t="s">
        <v>972</v>
      </c>
      <c r="H15" s="103" t="s">
        <v>972</v>
      </c>
      <c r="I15" s="103" t="s">
        <v>972</v>
      </c>
      <c r="J15" s="103" t="s">
        <v>972</v>
      </c>
      <c r="K15" s="103" t="s">
        <v>972</v>
      </c>
      <c r="L15" s="103" t="s">
        <v>972</v>
      </c>
      <c r="M15" s="103" t="s">
        <v>972</v>
      </c>
      <c r="N15" s="103" t="s">
        <v>972</v>
      </c>
      <c r="O15" s="103" t="s">
        <v>972</v>
      </c>
      <c r="P15" s="103" t="s">
        <v>972</v>
      </c>
      <c r="Q15" s="103" t="s">
        <v>972</v>
      </c>
      <c r="R15" s="103" t="s">
        <v>972</v>
      </c>
      <c r="S15" s="103" t="s">
        <v>972</v>
      </c>
      <c r="T15" s="103" t="s">
        <v>972</v>
      </c>
      <c r="U15" s="103" t="s">
        <v>973</v>
      </c>
      <c r="V15" s="103" t="s">
        <v>974</v>
      </c>
      <c r="W15" s="103" t="s">
        <v>972</v>
      </c>
      <c r="X15" s="103" t="s">
        <v>975</v>
      </c>
      <c r="Y15" s="103" t="s">
        <v>976</v>
      </c>
      <c r="Z15" s="103" t="s">
        <v>977</v>
      </c>
      <c r="AA15" s="103" t="s">
        <v>978</v>
      </c>
      <c r="AB15" s="103" t="s">
        <v>979</v>
      </c>
      <c r="AC15" s="103" t="s">
        <v>978</v>
      </c>
      <c r="AD15" s="103" t="s">
        <v>978</v>
      </c>
      <c r="AE15" s="103" t="s">
        <v>975</v>
      </c>
      <c r="AF15" s="103"/>
      <c r="AG15" s="103"/>
      <c r="AH15" s="103"/>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c r="BV15" s="103"/>
      <c r="BW15" s="103"/>
      <c r="BX15" s="103"/>
      <c r="BY15" s="103"/>
      <c r="BZ15" s="103"/>
      <c r="CA15" s="103"/>
      <c r="CB15" s="103"/>
      <c r="CC15" s="103"/>
      <c r="CD15" s="103"/>
      <c r="CE15" s="103"/>
      <c r="CF15" s="103"/>
      <c r="CG15" s="103"/>
      <c r="CH15" s="103"/>
      <c r="CI15" s="103"/>
      <c r="CJ15" s="103"/>
      <c r="CK15" s="103"/>
      <c r="CL15" s="103"/>
      <c r="CM15" s="103"/>
      <c r="CN15" s="103"/>
      <c r="CO15" s="103"/>
      <c r="CP15" s="103"/>
      <c r="CQ15" s="103"/>
      <c r="CR15" s="103"/>
      <c r="CS15" s="103"/>
      <c r="CT15" s="103"/>
      <c r="CU15" s="103"/>
      <c r="CV15" s="103"/>
      <c r="CW15" s="103"/>
      <c r="CX15" s="103"/>
      <c r="CY15" s="103"/>
      <c r="CZ15" s="103"/>
      <c r="DA15" s="103"/>
      <c r="DB15" s="103"/>
      <c r="DC15" s="103"/>
      <c r="DD15" s="103"/>
      <c r="DE15" s="103"/>
      <c r="DF15" s="103"/>
      <c r="DG15" s="103"/>
      <c r="DH15" s="103"/>
      <c r="DI15" s="103"/>
      <c r="DJ15" s="103"/>
      <c r="DK15" s="103"/>
      <c r="DL15" s="103"/>
      <c r="DM15" s="103"/>
      <c r="DN15" s="103"/>
      <c r="DO15" s="103"/>
      <c r="DP15" s="103"/>
      <c r="DQ15" s="103"/>
      <c r="DR15" s="103"/>
      <c r="DS15" s="103"/>
      <c r="DT15" s="103"/>
      <c r="DU15" s="103"/>
      <c r="DV15" s="103"/>
      <c r="DW15" s="103"/>
      <c r="DX15" s="103"/>
      <c r="DY15" s="103"/>
      <c r="DZ15" s="103"/>
      <c r="EA15" s="103"/>
      <c r="EB15" s="103"/>
      <c r="EC15" s="103"/>
      <c r="ED15" s="103"/>
      <c r="EE15" s="103"/>
      <c r="EF15" s="103"/>
      <c r="EG15" s="103"/>
      <c r="EH15" s="103"/>
      <c r="EI15" s="103"/>
      <c r="EJ15" s="103"/>
      <c r="EK15" s="103"/>
      <c r="EL15" s="103"/>
      <c r="EM15" s="103"/>
      <c r="EN15" s="103"/>
      <c r="EO15" s="103"/>
      <c r="EP15" s="103"/>
      <c r="EQ15" s="103"/>
      <c r="ER15" s="103"/>
      <c r="ES15" s="103"/>
      <c r="ET15" s="103"/>
      <c r="EU15" s="103"/>
      <c r="EV15" s="103"/>
      <c r="EW15" s="103"/>
      <c r="EX15" s="103"/>
      <c r="EY15" s="103"/>
      <c r="EZ15" s="103"/>
      <c r="FA15" s="103"/>
      <c r="FB15" s="103"/>
      <c r="FC15" s="103"/>
      <c r="FD15" s="103"/>
      <c r="FE15" s="103"/>
      <c r="FF15" s="103"/>
      <c r="FG15" s="103"/>
      <c r="FH15" s="103"/>
      <c r="FI15" s="103"/>
      <c r="FJ15" s="103"/>
      <c r="FK15" s="103"/>
      <c r="FL15" s="103"/>
      <c r="FM15" s="103"/>
      <c r="FN15" s="103"/>
      <c r="FO15" s="103"/>
      <c r="FP15" s="103"/>
      <c r="FQ15" s="103"/>
      <c r="FR15" s="103"/>
      <c r="FS15" s="103"/>
      <c r="FT15" s="103"/>
      <c r="FU15" s="103"/>
      <c r="FV15" s="103"/>
      <c r="FW15" s="103"/>
      <c r="FX15" s="103"/>
      <c r="FY15" s="103"/>
      <c r="FZ15" s="103"/>
      <c r="GA15" s="103"/>
      <c r="GB15" s="103"/>
      <c r="GC15" s="103"/>
      <c r="GD15" s="103"/>
      <c r="GE15" s="103"/>
      <c r="GF15" s="103"/>
      <c r="GG15" s="103"/>
      <c r="GH15" s="103"/>
      <c r="GI15" s="103"/>
      <c r="GJ15" s="103"/>
      <c r="GK15" s="103"/>
      <c r="GL15" s="103"/>
      <c r="GM15" s="103"/>
      <c r="GN15" s="103"/>
      <c r="GO15" s="103"/>
      <c r="GP15" s="103"/>
      <c r="GQ15" s="103"/>
      <c r="GR15" s="103"/>
      <c r="GS15" s="103"/>
      <c r="GT15" s="103"/>
      <c r="GU15" s="103"/>
      <c r="GV15" s="103"/>
      <c r="GW15" s="103"/>
      <c r="GX15" s="103"/>
      <c r="GY15" s="103"/>
      <c r="GZ15" s="103"/>
      <c r="HA15" s="103"/>
      <c r="HB15" s="103"/>
      <c r="HC15" s="103"/>
      <c r="HD15" s="103"/>
      <c r="HE15" s="103"/>
      <c r="HF15" s="103"/>
      <c r="HG15" s="103"/>
      <c r="HH15" s="103"/>
      <c r="HI15" s="103"/>
      <c r="HJ15" s="103"/>
      <c r="HK15" s="103"/>
      <c r="HL15" s="103"/>
      <c r="HM15" s="103"/>
      <c r="HN15" s="103"/>
      <c r="HO15" s="103"/>
      <c r="HP15" s="103"/>
      <c r="HQ15" s="103"/>
      <c r="HR15" s="103"/>
      <c r="HS15" s="103"/>
      <c r="HT15" s="103"/>
      <c r="HU15" s="103"/>
      <c r="HV15" s="103"/>
      <c r="HW15" s="103"/>
      <c r="HX15" s="103"/>
      <c r="HY15" s="103"/>
      <c r="HZ15" s="103"/>
      <c r="IA15" s="103"/>
      <c r="IB15" s="103"/>
      <c r="IC15" s="103"/>
      <c r="ID15" s="103"/>
      <c r="IE15" s="103"/>
      <c r="IF15" s="103"/>
      <c r="IG15" s="103"/>
      <c r="IH15" s="103"/>
      <c r="II15" s="103"/>
      <c r="IJ15" s="103"/>
      <c r="IK15" s="103"/>
      <c r="IL15" s="103"/>
      <c r="IM15" s="103"/>
      <c r="IN15" s="103"/>
      <c r="IO15" s="103"/>
      <c r="IP15" s="103"/>
      <c r="IQ15" s="103"/>
      <c r="IR15" s="103"/>
      <c r="IS15" s="103"/>
      <c r="IT15" s="103"/>
      <c r="IU15" s="103"/>
      <c r="IV15" s="103"/>
      <c r="IW15" s="103"/>
      <c r="IX15" s="103"/>
      <c r="IY15" s="103"/>
      <c r="IZ15" s="103"/>
    </row>
    <row r="16" spans="1:260" s="102" customFormat="1" ht="12.95" customHeight="1" x14ac:dyDescent="0.25">
      <c r="A16" s="311"/>
      <c r="B16" s="299"/>
      <c r="C16" s="298" t="s">
        <v>362</v>
      </c>
      <c r="D16" s="310" t="s">
        <v>980</v>
      </c>
      <c r="E16" s="310" t="s">
        <v>981</v>
      </c>
      <c r="F16" s="103" t="s">
        <v>980</v>
      </c>
      <c r="G16" s="103" t="s">
        <v>982</v>
      </c>
      <c r="H16" s="103" t="s">
        <v>982</v>
      </c>
      <c r="I16" s="103" t="s">
        <v>982</v>
      </c>
      <c r="J16" s="103" t="s">
        <v>982</v>
      </c>
      <c r="K16" s="103" t="s">
        <v>982</v>
      </c>
      <c r="L16" s="103" t="s">
        <v>982</v>
      </c>
      <c r="M16" s="103" t="s">
        <v>983</v>
      </c>
      <c r="N16" s="103" t="s">
        <v>983</v>
      </c>
      <c r="O16" s="103" t="s">
        <v>983</v>
      </c>
      <c r="P16" s="103" t="s">
        <v>983</v>
      </c>
      <c r="Q16" s="103" t="s">
        <v>983</v>
      </c>
      <c r="R16" s="103" t="s">
        <v>983</v>
      </c>
      <c r="S16" s="103" t="s">
        <v>983</v>
      </c>
      <c r="T16" s="103" t="s">
        <v>984</v>
      </c>
      <c r="U16" s="103" t="s">
        <v>984</v>
      </c>
      <c r="V16" s="103" t="s">
        <v>984</v>
      </c>
      <c r="W16" s="103" t="s">
        <v>985</v>
      </c>
      <c r="X16" s="103" t="s">
        <v>985</v>
      </c>
      <c r="Y16" s="103"/>
      <c r="Z16" s="103" t="s">
        <v>986</v>
      </c>
      <c r="AA16" s="103" t="s">
        <v>987</v>
      </c>
      <c r="AB16" s="103"/>
      <c r="AC16" s="103" t="s">
        <v>988</v>
      </c>
      <c r="AD16" s="103" t="s">
        <v>989</v>
      </c>
      <c r="AE16" s="103" t="s">
        <v>990</v>
      </c>
      <c r="AF16" s="103"/>
      <c r="AG16" s="103"/>
      <c r="AH16" s="103"/>
      <c r="AI16" s="103"/>
      <c r="AJ16" s="103"/>
      <c r="AK16" s="103"/>
      <c r="AL16" s="103"/>
      <c r="AM16" s="103"/>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c r="BY16" s="103"/>
      <c r="BZ16" s="103"/>
      <c r="CA16" s="103"/>
      <c r="CB16" s="103"/>
      <c r="CC16" s="103"/>
      <c r="CD16" s="103"/>
      <c r="CE16" s="103"/>
      <c r="CF16" s="103"/>
      <c r="CG16" s="103"/>
      <c r="CH16" s="103"/>
      <c r="CI16" s="103"/>
      <c r="CJ16" s="103"/>
      <c r="CK16" s="103"/>
      <c r="CL16" s="103"/>
      <c r="CM16" s="103"/>
      <c r="CN16" s="103"/>
      <c r="CO16" s="103"/>
      <c r="CP16" s="103"/>
      <c r="CQ16" s="103"/>
      <c r="CR16" s="103"/>
      <c r="CS16" s="103"/>
      <c r="CT16" s="103"/>
      <c r="CU16" s="103"/>
      <c r="CV16" s="103"/>
      <c r="CW16" s="103"/>
      <c r="CX16" s="103"/>
      <c r="CY16" s="103"/>
      <c r="CZ16" s="103"/>
      <c r="DA16" s="103"/>
      <c r="DB16" s="103"/>
      <c r="DC16" s="103"/>
      <c r="DD16" s="103"/>
      <c r="DE16" s="103"/>
      <c r="DF16" s="103"/>
      <c r="DG16" s="103"/>
      <c r="DH16" s="103"/>
      <c r="DI16" s="103"/>
      <c r="DJ16" s="103"/>
      <c r="DK16" s="103"/>
      <c r="DL16" s="103"/>
      <c r="DM16" s="103"/>
      <c r="DN16" s="103"/>
      <c r="DO16" s="103"/>
      <c r="DP16" s="103"/>
      <c r="DQ16" s="103"/>
      <c r="DR16" s="103"/>
      <c r="DS16" s="103"/>
      <c r="DT16" s="103"/>
      <c r="DU16" s="103"/>
      <c r="DV16" s="103"/>
      <c r="DW16" s="103"/>
      <c r="DX16" s="103"/>
      <c r="DY16" s="103"/>
      <c r="DZ16" s="103"/>
      <c r="EA16" s="103"/>
      <c r="EB16" s="103"/>
      <c r="EC16" s="103"/>
      <c r="ED16" s="103"/>
      <c r="EE16" s="103"/>
      <c r="EF16" s="103"/>
      <c r="EG16" s="103"/>
      <c r="EH16" s="103"/>
      <c r="EI16" s="103"/>
      <c r="EJ16" s="103"/>
      <c r="EK16" s="103"/>
      <c r="EL16" s="103"/>
      <c r="EM16" s="103"/>
      <c r="EN16" s="103"/>
      <c r="EO16" s="103"/>
      <c r="EP16" s="103"/>
      <c r="EQ16" s="103"/>
      <c r="ER16" s="103"/>
      <c r="ES16" s="103"/>
      <c r="ET16" s="103"/>
      <c r="EU16" s="103"/>
      <c r="EV16" s="103"/>
      <c r="EW16" s="103"/>
      <c r="EX16" s="103"/>
      <c r="EY16" s="103"/>
      <c r="EZ16" s="103"/>
      <c r="FA16" s="103"/>
      <c r="FB16" s="103"/>
      <c r="FC16" s="103"/>
      <c r="FD16" s="103"/>
      <c r="FE16" s="103"/>
      <c r="FF16" s="103"/>
      <c r="FG16" s="103"/>
      <c r="FH16" s="103"/>
      <c r="FI16" s="103"/>
      <c r="FJ16" s="103"/>
      <c r="FK16" s="103"/>
      <c r="FL16" s="103"/>
      <c r="FM16" s="103"/>
      <c r="FN16" s="103"/>
      <c r="FO16" s="103"/>
      <c r="FP16" s="103"/>
      <c r="FQ16" s="103"/>
      <c r="FR16" s="103"/>
      <c r="FS16" s="103"/>
      <c r="FT16" s="103"/>
      <c r="FU16" s="103"/>
      <c r="FV16" s="103"/>
      <c r="FW16" s="103"/>
      <c r="FX16" s="103"/>
      <c r="FY16" s="103"/>
      <c r="FZ16" s="103"/>
      <c r="GA16" s="103"/>
      <c r="GB16" s="103"/>
      <c r="GC16" s="103"/>
      <c r="GD16" s="103"/>
      <c r="GE16" s="103"/>
      <c r="GF16" s="103"/>
      <c r="GG16" s="103"/>
      <c r="GH16" s="103"/>
      <c r="GI16" s="103"/>
      <c r="GJ16" s="103"/>
      <c r="GK16" s="103"/>
      <c r="GL16" s="103"/>
      <c r="GM16" s="103"/>
      <c r="GN16" s="103"/>
      <c r="GO16" s="103"/>
      <c r="GP16" s="103"/>
      <c r="GQ16" s="103"/>
      <c r="GR16" s="103"/>
      <c r="GS16" s="103"/>
      <c r="GT16" s="103"/>
      <c r="GU16" s="103"/>
      <c r="GV16" s="103"/>
      <c r="GW16" s="103"/>
      <c r="GX16" s="103"/>
      <c r="GY16" s="103"/>
      <c r="GZ16" s="103"/>
      <c r="HA16" s="103"/>
      <c r="HB16" s="103"/>
      <c r="HC16" s="103"/>
      <c r="HD16" s="103"/>
      <c r="HE16" s="103"/>
      <c r="HF16" s="103"/>
      <c r="HG16" s="103"/>
      <c r="HH16" s="103"/>
      <c r="HI16" s="103"/>
      <c r="HJ16" s="103"/>
      <c r="HK16" s="103"/>
      <c r="HL16" s="103"/>
      <c r="HM16" s="103"/>
      <c r="HN16" s="103"/>
      <c r="HO16" s="103"/>
      <c r="HP16" s="103"/>
      <c r="HQ16" s="103"/>
      <c r="HR16" s="103"/>
      <c r="HS16" s="103"/>
      <c r="HT16" s="103"/>
      <c r="HU16" s="103"/>
      <c r="HV16" s="103"/>
      <c r="HW16" s="103"/>
      <c r="HX16" s="103"/>
      <c r="HY16" s="103"/>
      <c r="HZ16" s="103"/>
      <c r="IA16" s="103"/>
      <c r="IB16" s="103"/>
      <c r="IC16" s="103"/>
      <c r="ID16" s="103"/>
      <c r="IE16" s="103"/>
      <c r="IF16" s="103"/>
      <c r="IG16" s="103"/>
      <c r="IH16" s="103"/>
      <c r="II16" s="103"/>
      <c r="IJ16" s="103"/>
      <c r="IK16" s="103"/>
      <c r="IL16" s="103"/>
      <c r="IM16" s="103"/>
      <c r="IN16" s="103"/>
      <c r="IO16" s="103"/>
      <c r="IP16" s="103"/>
      <c r="IQ16" s="103"/>
      <c r="IR16" s="103"/>
      <c r="IS16" s="103"/>
      <c r="IT16" s="103"/>
      <c r="IU16" s="103"/>
      <c r="IV16" s="103"/>
      <c r="IW16" s="103"/>
      <c r="IX16" s="103"/>
      <c r="IY16" s="103"/>
      <c r="IZ16" s="103"/>
    </row>
    <row r="17" spans="1:260" s="102" customFormat="1" ht="12.95" customHeight="1" x14ac:dyDescent="0.25">
      <c r="A17" s="311"/>
      <c r="B17" s="299"/>
      <c r="C17" s="298" t="s">
        <v>362</v>
      </c>
      <c r="D17" s="310"/>
      <c r="E17" s="310"/>
      <c r="F17" s="103"/>
      <c r="G17" s="103" t="s">
        <v>991</v>
      </c>
      <c r="H17" s="103" t="s">
        <v>992</v>
      </c>
      <c r="I17" s="103" t="s">
        <v>993</v>
      </c>
      <c r="J17" s="103" t="s">
        <v>994</v>
      </c>
      <c r="K17" s="103" t="s">
        <v>995</v>
      </c>
      <c r="L17" s="103" t="s">
        <v>996</v>
      </c>
      <c r="M17" s="103" t="s">
        <v>991</v>
      </c>
      <c r="N17" s="103" t="s">
        <v>992</v>
      </c>
      <c r="O17" s="103" t="s">
        <v>993</v>
      </c>
      <c r="P17" s="103" t="s">
        <v>994</v>
      </c>
      <c r="Q17" s="103" t="s">
        <v>995</v>
      </c>
      <c r="R17" s="103" t="s">
        <v>996</v>
      </c>
      <c r="S17" s="103" t="s">
        <v>997</v>
      </c>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row>
    <row r="18" spans="1:260" s="102" customFormat="1" ht="12.95" customHeight="1" x14ac:dyDescent="0.25">
      <c r="A18" s="179">
        <v>320</v>
      </c>
      <c r="B18" s="297" t="s">
        <v>363</v>
      </c>
      <c r="C18" s="217" t="s">
        <v>364</v>
      </c>
      <c r="D18" s="312">
        <v>343</v>
      </c>
      <c r="E18" s="312">
        <v>126</v>
      </c>
      <c r="F18" s="104">
        <v>44</v>
      </c>
      <c r="G18" s="104">
        <v>132</v>
      </c>
      <c r="H18" s="104">
        <v>106</v>
      </c>
      <c r="I18" s="104">
        <v>101</v>
      </c>
      <c r="J18" s="104">
        <v>113</v>
      </c>
      <c r="K18" s="104">
        <v>88</v>
      </c>
      <c r="L18" s="104">
        <v>80</v>
      </c>
      <c r="M18" s="104">
        <v>76</v>
      </c>
      <c r="N18" s="104">
        <v>76</v>
      </c>
      <c r="O18" s="104">
        <v>38</v>
      </c>
      <c r="P18" s="104">
        <v>46</v>
      </c>
      <c r="Q18" s="104">
        <v>53</v>
      </c>
      <c r="R18" s="104">
        <v>22</v>
      </c>
      <c r="S18" s="104">
        <v>35</v>
      </c>
      <c r="T18" s="104">
        <v>233</v>
      </c>
      <c r="U18" s="104">
        <v>48</v>
      </c>
      <c r="V18" s="104">
        <v>130</v>
      </c>
      <c r="W18" s="104">
        <v>124</v>
      </c>
      <c r="X18" s="104">
        <v>12</v>
      </c>
      <c r="Y18" s="104">
        <v>102</v>
      </c>
      <c r="Z18" s="104">
        <v>29</v>
      </c>
      <c r="AA18" s="104">
        <v>40</v>
      </c>
      <c r="AB18" s="104">
        <v>42</v>
      </c>
      <c r="AC18" s="104">
        <v>44</v>
      </c>
      <c r="AD18" s="104">
        <v>48</v>
      </c>
      <c r="AE18" s="104">
        <v>22</v>
      </c>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c r="BX18" s="104"/>
      <c r="BY18" s="104"/>
      <c r="BZ18" s="104"/>
      <c r="CA18" s="104"/>
      <c r="CB18" s="104"/>
      <c r="CC18" s="104"/>
      <c r="CD18" s="104"/>
      <c r="CE18" s="104"/>
      <c r="CF18" s="104"/>
      <c r="CG18" s="104"/>
      <c r="CH18" s="104"/>
      <c r="CI18" s="104"/>
      <c r="CJ18" s="104"/>
      <c r="CK18" s="104"/>
      <c r="CL18" s="104"/>
      <c r="CM18" s="104"/>
      <c r="CN18" s="104"/>
      <c r="CO18" s="104"/>
      <c r="CP18" s="104"/>
      <c r="CQ18" s="104"/>
      <c r="CR18" s="104"/>
      <c r="CS18" s="104"/>
      <c r="CT18" s="104"/>
      <c r="CU18" s="104"/>
      <c r="CV18" s="104"/>
      <c r="CW18" s="104"/>
      <c r="CX18" s="104"/>
      <c r="CY18" s="104"/>
      <c r="CZ18" s="104"/>
      <c r="DA18" s="104"/>
      <c r="DB18" s="104"/>
      <c r="DC18" s="104"/>
      <c r="DD18" s="104"/>
      <c r="DE18" s="104"/>
      <c r="DF18" s="104"/>
      <c r="DG18" s="104"/>
      <c r="DH18" s="104"/>
      <c r="DI18" s="104"/>
      <c r="DJ18" s="104"/>
      <c r="DK18" s="104"/>
      <c r="DL18" s="104"/>
      <c r="DM18" s="104"/>
      <c r="DN18" s="104"/>
      <c r="DO18" s="104"/>
      <c r="DP18" s="104"/>
      <c r="DQ18" s="104"/>
      <c r="DR18" s="104"/>
      <c r="DS18" s="104"/>
      <c r="DT18" s="104"/>
      <c r="DU18" s="104"/>
      <c r="DV18" s="104"/>
      <c r="DW18" s="104"/>
      <c r="DX18" s="104"/>
      <c r="DY18" s="104"/>
      <c r="DZ18" s="104"/>
      <c r="EA18" s="104"/>
      <c r="EB18" s="104"/>
      <c r="EC18" s="104"/>
      <c r="ED18" s="104"/>
      <c r="EE18" s="104"/>
      <c r="EF18" s="104"/>
      <c r="EG18" s="104"/>
      <c r="EH18" s="104"/>
      <c r="EI18" s="104"/>
      <c r="EJ18" s="104"/>
      <c r="EK18" s="104"/>
      <c r="EL18" s="104"/>
      <c r="EM18" s="104"/>
      <c r="EN18" s="104"/>
      <c r="EO18" s="104"/>
      <c r="EP18" s="104"/>
      <c r="EQ18" s="104"/>
      <c r="ER18" s="104"/>
      <c r="ES18" s="104"/>
      <c r="ET18" s="104"/>
      <c r="EU18" s="104"/>
      <c r="EV18" s="104"/>
      <c r="EW18" s="104"/>
      <c r="EX18" s="104"/>
      <c r="EY18" s="104"/>
      <c r="EZ18" s="104"/>
      <c r="FA18" s="104"/>
      <c r="FB18" s="104"/>
      <c r="FC18" s="104"/>
      <c r="FD18" s="104"/>
      <c r="FE18" s="104"/>
      <c r="FF18" s="104"/>
      <c r="FG18" s="104"/>
      <c r="FH18" s="104"/>
      <c r="FI18" s="104"/>
      <c r="FJ18" s="104"/>
      <c r="FK18" s="104"/>
      <c r="FL18" s="104"/>
      <c r="FM18" s="104"/>
      <c r="FN18" s="104"/>
      <c r="FO18" s="104"/>
      <c r="FP18" s="104"/>
      <c r="FQ18" s="104"/>
      <c r="FR18" s="104"/>
      <c r="FS18" s="104"/>
      <c r="FT18" s="104"/>
      <c r="FU18" s="104"/>
      <c r="FV18" s="104"/>
      <c r="FW18" s="104"/>
      <c r="FX18" s="104"/>
      <c r="FY18" s="104"/>
      <c r="FZ18" s="104"/>
      <c r="GA18" s="104"/>
      <c r="GB18" s="104"/>
      <c r="GC18" s="104"/>
      <c r="GD18" s="104"/>
      <c r="GE18" s="104"/>
      <c r="GF18" s="104"/>
      <c r="GG18" s="104"/>
      <c r="GH18" s="104"/>
      <c r="GI18" s="104"/>
      <c r="GJ18" s="104"/>
      <c r="GK18" s="104"/>
      <c r="GL18" s="104"/>
      <c r="GM18" s="104"/>
      <c r="GN18" s="104"/>
      <c r="GO18" s="104"/>
      <c r="GP18" s="104"/>
      <c r="GQ18" s="104"/>
      <c r="GR18" s="104"/>
      <c r="GS18" s="104"/>
      <c r="GT18" s="104"/>
      <c r="GU18" s="104"/>
      <c r="GV18" s="104"/>
      <c r="GW18" s="104"/>
      <c r="GX18" s="104"/>
      <c r="GY18" s="104"/>
      <c r="GZ18" s="104"/>
      <c r="HA18" s="104"/>
      <c r="HB18" s="104"/>
      <c r="HC18" s="104"/>
      <c r="HD18" s="104"/>
      <c r="HE18" s="104"/>
      <c r="HF18" s="104"/>
      <c r="HG18" s="104"/>
      <c r="HH18" s="104"/>
      <c r="HI18" s="104"/>
      <c r="HJ18" s="104"/>
      <c r="HK18" s="104"/>
      <c r="HL18" s="104"/>
      <c r="HM18" s="104"/>
      <c r="HN18" s="104"/>
      <c r="HO18" s="104"/>
      <c r="HP18" s="104"/>
      <c r="HQ18" s="104"/>
      <c r="HR18" s="104"/>
      <c r="HS18" s="104"/>
      <c r="HT18" s="104"/>
      <c r="HU18" s="104"/>
      <c r="HV18" s="104"/>
      <c r="HW18" s="104"/>
      <c r="HX18" s="104"/>
      <c r="HY18" s="104"/>
      <c r="HZ18" s="104"/>
      <c r="IA18" s="104"/>
      <c r="IB18" s="104"/>
      <c r="IC18" s="104"/>
      <c r="ID18" s="104"/>
      <c r="IE18" s="104"/>
      <c r="IF18" s="104"/>
      <c r="IG18" s="104"/>
      <c r="IH18" s="104"/>
      <c r="II18" s="104"/>
      <c r="IJ18" s="104"/>
      <c r="IK18" s="104"/>
      <c r="IL18" s="104"/>
      <c r="IM18" s="104"/>
      <c r="IN18" s="104"/>
      <c r="IO18" s="104"/>
      <c r="IP18" s="104"/>
      <c r="IQ18" s="104"/>
      <c r="IR18" s="104"/>
      <c r="IS18" s="104"/>
      <c r="IT18" s="104"/>
      <c r="IU18" s="104"/>
      <c r="IV18" s="104"/>
      <c r="IW18" s="104"/>
      <c r="IX18" s="104"/>
      <c r="IY18" s="104"/>
      <c r="IZ18" s="104"/>
    </row>
    <row r="19" spans="1:260" s="102" customFormat="1" ht="12.95" customHeight="1" x14ac:dyDescent="0.25">
      <c r="A19" s="179">
        <v>321</v>
      </c>
      <c r="B19" s="299"/>
      <c r="C19" s="298" t="s">
        <v>365</v>
      </c>
      <c r="D19" s="313">
        <v>155</v>
      </c>
      <c r="E19" s="313">
        <v>65</v>
      </c>
      <c r="F19" s="313">
        <v>22</v>
      </c>
      <c r="G19" s="313">
        <v>68</v>
      </c>
      <c r="H19" s="313">
        <v>54</v>
      </c>
      <c r="I19" s="313">
        <v>52</v>
      </c>
      <c r="J19" s="313">
        <v>58</v>
      </c>
      <c r="K19" s="313">
        <v>45</v>
      </c>
      <c r="L19" s="313">
        <v>41</v>
      </c>
      <c r="M19" s="313">
        <v>38</v>
      </c>
      <c r="N19" s="313">
        <v>38</v>
      </c>
      <c r="O19" s="313">
        <v>19</v>
      </c>
      <c r="P19" s="313">
        <v>23</v>
      </c>
      <c r="Q19" s="313">
        <v>27</v>
      </c>
      <c r="R19" s="313">
        <v>11</v>
      </c>
      <c r="S19" s="313">
        <v>18</v>
      </c>
      <c r="T19" s="313">
        <v>120</v>
      </c>
      <c r="U19" s="313">
        <v>20</v>
      </c>
      <c r="V19" s="313">
        <v>65</v>
      </c>
      <c r="W19" s="313">
        <v>62</v>
      </c>
      <c r="X19" s="313">
        <v>6</v>
      </c>
      <c r="Y19" s="313">
        <v>50</v>
      </c>
      <c r="Z19" s="313">
        <v>20</v>
      </c>
      <c r="AA19" s="313">
        <v>20</v>
      </c>
      <c r="AB19" s="313">
        <v>25</v>
      </c>
      <c r="AC19" s="313">
        <v>24</v>
      </c>
      <c r="AD19" s="313">
        <v>25</v>
      </c>
      <c r="AE19" s="313">
        <v>12</v>
      </c>
      <c r="AF19" s="313"/>
      <c r="AG19" s="313"/>
      <c r="AH19" s="313"/>
      <c r="AI19" s="313"/>
      <c r="AJ19" s="313"/>
      <c r="AK19" s="313"/>
      <c r="AL19" s="313"/>
      <c r="AM19" s="313"/>
      <c r="AN19" s="313"/>
      <c r="AO19" s="313"/>
      <c r="AP19" s="313"/>
      <c r="AQ19" s="313"/>
      <c r="AR19" s="313"/>
      <c r="AS19" s="313"/>
      <c r="AT19" s="313"/>
      <c r="AU19" s="313"/>
      <c r="AV19" s="313"/>
      <c r="AW19" s="313"/>
      <c r="AX19" s="313"/>
      <c r="AY19" s="313"/>
      <c r="AZ19" s="313"/>
      <c r="BA19" s="313"/>
      <c r="BB19" s="313"/>
      <c r="BC19" s="313"/>
      <c r="BD19" s="313"/>
      <c r="BE19" s="313"/>
      <c r="BF19" s="313"/>
      <c r="BG19" s="313"/>
      <c r="BH19" s="313"/>
      <c r="BI19" s="313"/>
      <c r="BJ19" s="313"/>
      <c r="BK19" s="313"/>
      <c r="BL19" s="313"/>
      <c r="BM19" s="313"/>
      <c r="BN19" s="313"/>
      <c r="BO19" s="313"/>
      <c r="BP19" s="313"/>
      <c r="BQ19" s="313"/>
      <c r="BR19" s="313"/>
      <c r="BS19" s="313"/>
      <c r="BT19" s="313"/>
      <c r="BU19" s="313"/>
      <c r="BV19" s="313"/>
      <c r="BW19" s="313"/>
      <c r="BX19" s="313"/>
      <c r="BY19" s="313"/>
      <c r="BZ19" s="313"/>
      <c r="CA19" s="313"/>
      <c r="CB19" s="313"/>
      <c r="CC19" s="313"/>
      <c r="CD19" s="313"/>
      <c r="CE19" s="313"/>
      <c r="CF19" s="313"/>
      <c r="CG19" s="313"/>
      <c r="CH19" s="313"/>
      <c r="CI19" s="313"/>
      <c r="CJ19" s="313"/>
      <c r="CK19" s="313"/>
      <c r="CL19" s="313"/>
      <c r="CM19" s="313"/>
      <c r="CN19" s="313"/>
      <c r="CO19" s="313"/>
      <c r="CP19" s="313"/>
      <c r="CQ19" s="313"/>
      <c r="CR19" s="313"/>
      <c r="CS19" s="313"/>
      <c r="CT19" s="313"/>
      <c r="CU19" s="313"/>
      <c r="CV19" s="313"/>
      <c r="CW19" s="313"/>
      <c r="CX19" s="313"/>
      <c r="CY19" s="313"/>
      <c r="CZ19" s="313"/>
      <c r="DA19" s="313"/>
      <c r="DB19" s="313"/>
      <c r="DC19" s="313"/>
      <c r="DD19" s="313"/>
      <c r="DE19" s="313"/>
      <c r="DF19" s="313"/>
      <c r="DG19" s="313"/>
      <c r="DH19" s="313"/>
      <c r="DI19" s="313"/>
      <c r="DJ19" s="313"/>
      <c r="DK19" s="313"/>
      <c r="DL19" s="313"/>
      <c r="DM19" s="313"/>
      <c r="DN19" s="313"/>
      <c r="DO19" s="313"/>
      <c r="DP19" s="313"/>
      <c r="DQ19" s="313"/>
      <c r="DR19" s="313"/>
      <c r="DS19" s="313"/>
      <c r="DT19" s="313"/>
      <c r="DU19" s="313"/>
      <c r="DV19" s="313"/>
      <c r="DW19" s="313"/>
      <c r="DX19" s="313"/>
      <c r="DY19" s="313"/>
      <c r="DZ19" s="313"/>
      <c r="EA19" s="313"/>
      <c r="EB19" s="313"/>
      <c r="EC19" s="313"/>
      <c r="ED19" s="313"/>
      <c r="EE19" s="313"/>
      <c r="EF19" s="313"/>
      <c r="EG19" s="313"/>
      <c r="EH19" s="313"/>
      <c r="EI19" s="313"/>
      <c r="EJ19" s="313"/>
      <c r="EK19" s="313"/>
      <c r="EL19" s="313"/>
      <c r="EM19" s="313"/>
      <c r="EN19" s="313"/>
      <c r="EO19" s="313"/>
      <c r="EP19" s="313"/>
      <c r="EQ19" s="313"/>
      <c r="ER19" s="313"/>
      <c r="ES19" s="313"/>
      <c r="ET19" s="313"/>
      <c r="EU19" s="313"/>
      <c r="EV19" s="313"/>
      <c r="EW19" s="313"/>
      <c r="EX19" s="313"/>
      <c r="EY19" s="313"/>
      <c r="EZ19" s="313"/>
      <c r="FA19" s="313"/>
      <c r="FB19" s="313"/>
      <c r="FC19" s="313"/>
      <c r="FD19" s="313"/>
      <c r="FE19" s="313"/>
      <c r="FF19" s="313"/>
      <c r="FG19" s="313"/>
      <c r="FH19" s="313"/>
      <c r="FI19" s="313"/>
      <c r="FJ19" s="313"/>
      <c r="FK19" s="313"/>
      <c r="FL19" s="313"/>
      <c r="FM19" s="313"/>
      <c r="FN19" s="313"/>
      <c r="FO19" s="313"/>
      <c r="FP19" s="313"/>
      <c r="FQ19" s="313"/>
      <c r="FR19" s="313"/>
      <c r="FS19" s="313"/>
      <c r="FT19" s="313"/>
      <c r="FU19" s="313"/>
      <c r="FV19" s="313"/>
      <c r="FW19" s="313"/>
      <c r="FX19" s="313"/>
      <c r="FY19" s="313"/>
      <c r="FZ19" s="313"/>
      <c r="GA19" s="313"/>
      <c r="GB19" s="313"/>
      <c r="GC19" s="313"/>
      <c r="GD19" s="313"/>
      <c r="GE19" s="313"/>
      <c r="GF19" s="313"/>
      <c r="GG19" s="313"/>
      <c r="GH19" s="313"/>
      <c r="GI19" s="313"/>
      <c r="GJ19" s="313"/>
      <c r="GK19" s="313"/>
      <c r="GL19" s="313"/>
      <c r="GM19" s="313"/>
      <c r="GN19" s="313"/>
      <c r="GO19" s="313"/>
      <c r="GP19" s="313"/>
      <c r="GQ19" s="313"/>
      <c r="GR19" s="313"/>
      <c r="GS19" s="313"/>
      <c r="GT19" s="313"/>
      <c r="GU19" s="313"/>
      <c r="GV19" s="313"/>
      <c r="GW19" s="313"/>
      <c r="GX19" s="313"/>
      <c r="GY19" s="313"/>
      <c r="GZ19" s="313"/>
      <c r="HA19" s="313"/>
      <c r="HB19" s="313"/>
      <c r="HC19" s="313"/>
      <c r="HD19" s="313"/>
      <c r="HE19" s="313"/>
      <c r="HF19" s="313"/>
      <c r="HG19" s="313"/>
      <c r="HH19" s="313"/>
      <c r="HI19" s="313"/>
      <c r="HJ19" s="313"/>
      <c r="HK19" s="313"/>
      <c r="HL19" s="313"/>
      <c r="HM19" s="313"/>
      <c r="HN19" s="313"/>
      <c r="HO19" s="313"/>
      <c r="HP19" s="313"/>
      <c r="HQ19" s="313"/>
      <c r="HR19" s="313"/>
      <c r="HS19" s="313"/>
      <c r="HT19" s="313"/>
      <c r="HU19" s="313"/>
      <c r="HV19" s="313"/>
      <c r="HW19" s="313"/>
      <c r="HX19" s="313"/>
      <c r="HY19" s="313"/>
      <c r="HZ19" s="313"/>
      <c r="IA19" s="313"/>
      <c r="IB19" s="313"/>
      <c r="IC19" s="313"/>
      <c r="ID19" s="313"/>
      <c r="IE19" s="313"/>
      <c r="IF19" s="313"/>
      <c r="IG19" s="313"/>
      <c r="IH19" s="313"/>
      <c r="II19" s="313"/>
      <c r="IJ19" s="313"/>
      <c r="IK19" s="313"/>
      <c r="IL19" s="313"/>
      <c r="IM19" s="313"/>
      <c r="IN19" s="313"/>
      <c r="IO19" s="313"/>
      <c r="IP19" s="313"/>
      <c r="IQ19" s="313"/>
      <c r="IR19" s="313"/>
      <c r="IS19" s="313"/>
      <c r="IT19" s="313"/>
      <c r="IU19" s="313"/>
      <c r="IV19" s="313"/>
      <c r="IW19" s="313"/>
      <c r="IX19" s="313"/>
      <c r="IY19" s="313"/>
      <c r="IZ19" s="313"/>
    </row>
    <row r="20" spans="1:260" s="105" customFormat="1" ht="12.95" customHeight="1" x14ac:dyDescent="0.25">
      <c r="A20" s="179">
        <v>322</v>
      </c>
      <c r="B20" s="297" t="s">
        <v>366</v>
      </c>
      <c r="C20" s="217" t="s">
        <v>952</v>
      </c>
      <c r="D20" s="314">
        <v>0.5</v>
      </c>
      <c r="E20" s="314">
        <v>0.5</v>
      </c>
      <c r="F20" s="314">
        <v>0.5</v>
      </c>
      <c r="G20" s="314">
        <v>0.5</v>
      </c>
      <c r="H20" s="314">
        <v>1</v>
      </c>
      <c r="I20" s="314">
        <v>0.5</v>
      </c>
      <c r="J20" s="314">
        <v>0.5</v>
      </c>
      <c r="K20" s="314">
        <v>0.5</v>
      </c>
      <c r="L20" s="314">
        <v>1</v>
      </c>
      <c r="M20" s="314">
        <v>1</v>
      </c>
      <c r="N20" s="314">
        <v>0.5</v>
      </c>
      <c r="O20" s="314">
        <v>0.5</v>
      </c>
      <c r="P20" s="314">
        <v>0.5</v>
      </c>
      <c r="Q20" s="314">
        <v>0.5</v>
      </c>
      <c r="R20" s="314">
        <v>0.5</v>
      </c>
      <c r="S20" s="314">
        <v>0.5</v>
      </c>
      <c r="T20" s="314">
        <v>0.5</v>
      </c>
      <c r="U20" s="314">
        <v>0.5</v>
      </c>
      <c r="V20" s="314">
        <v>0.5</v>
      </c>
      <c r="W20" s="314">
        <v>0.5</v>
      </c>
      <c r="X20" s="314">
        <v>0.5</v>
      </c>
      <c r="Y20" s="314">
        <v>0.5</v>
      </c>
      <c r="Z20" s="314">
        <v>0.5</v>
      </c>
      <c r="AA20" s="314">
        <v>0.5</v>
      </c>
      <c r="AB20" s="314">
        <v>0.5</v>
      </c>
      <c r="AC20" s="314">
        <v>0.5</v>
      </c>
      <c r="AD20" s="314">
        <v>0.5</v>
      </c>
      <c r="AE20" s="314">
        <v>0.5</v>
      </c>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c r="IW20" s="314"/>
      <c r="IX20" s="314"/>
      <c r="IY20" s="314"/>
      <c r="IZ20" s="314"/>
    </row>
    <row r="21" spans="1:260" s="102" customFormat="1" ht="12.95" customHeight="1" x14ac:dyDescent="0.25">
      <c r="A21" s="179">
        <v>323</v>
      </c>
      <c r="B21" s="217"/>
      <c r="C21" s="298" t="s">
        <v>367</v>
      </c>
      <c r="D21" s="315">
        <v>2025</v>
      </c>
      <c r="E21" s="316">
        <v>2025</v>
      </c>
      <c r="F21" s="316">
        <v>2025</v>
      </c>
      <c r="G21" s="316">
        <v>2026</v>
      </c>
      <c r="H21" s="316">
        <v>2026</v>
      </c>
      <c r="I21" s="316">
        <v>2026</v>
      </c>
      <c r="J21" s="316">
        <v>2026</v>
      </c>
      <c r="K21" s="316">
        <v>2026</v>
      </c>
      <c r="L21" s="316">
        <v>2026</v>
      </c>
      <c r="M21" s="316">
        <v>2027</v>
      </c>
      <c r="N21" s="316">
        <v>2027</v>
      </c>
      <c r="O21" s="316">
        <v>2027</v>
      </c>
      <c r="P21" s="316">
        <v>2027</v>
      </c>
      <c r="Q21" s="316">
        <v>2027</v>
      </c>
      <c r="R21" s="316">
        <v>2027</v>
      </c>
      <c r="S21" s="316">
        <v>2027</v>
      </c>
      <c r="T21" s="316">
        <v>2026</v>
      </c>
      <c r="U21" s="316">
        <v>2027</v>
      </c>
      <c r="V21" s="316">
        <v>2032</v>
      </c>
      <c r="W21" s="316">
        <v>2025</v>
      </c>
      <c r="X21" s="316">
        <v>2025</v>
      </c>
      <c r="Y21" s="316">
        <v>2025</v>
      </c>
      <c r="Z21" s="316">
        <v>2025</v>
      </c>
      <c r="AA21" s="316">
        <v>2027</v>
      </c>
      <c r="AB21" s="316">
        <v>2027</v>
      </c>
      <c r="AC21" s="316">
        <v>2027</v>
      </c>
      <c r="AD21" s="316">
        <v>2027</v>
      </c>
      <c r="AE21" s="316">
        <v>2027</v>
      </c>
      <c r="AF21" s="316"/>
      <c r="AG21" s="316"/>
      <c r="AH21" s="316"/>
      <c r="AI21" s="316"/>
      <c r="AJ21" s="316"/>
      <c r="AK21" s="316"/>
      <c r="AL21" s="316"/>
      <c r="AM21" s="316"/>
      <c r="AN21" s="316"/>
      <c r="AO21" s="316"/>
      <c r="AP21" s="316"/>
      <c r="AQ21" s="316"/>
      <c r="AR21" s="316"/>
      <c r="AS21" s="316"/>
      <c r="AT21" s="316"/>
      <c r="AU21" s="316"/>
      <c r="AV21" s="316"/>
      <c r="AW21" s="316"/>
      <c r="AX21" s="316"/>
      <c r="AY21" s="316"/>
      <c r="AZ21" s="316"/>
      <c r="BA21" s="316"/>
      <c r="BB21" s="316"/>
      <c r="BC21" s="316"/>
      <c r="BD21" s="316"/>
      <c r="BE21" s="316"/>
      <c r="BF21" s="316"/>
      <c r="BG21" s="316"/>
      <c r="BH21" s="316"/>
      <c r="BI21" s="316"/>
      <c r="BJ21" s="316"/>
      <c r="BK21" s="316"/>
      <c r="BL21" s="316"/>
      <c r="BM21" s="316"/>
      <c r="BN21" s="316"/>
      <c r="BO21" s="316"/>
      <c r="BP21" s="316"/>
      <c r="BQ21" s="316"/>
      <c r="BR21" s="316"/>
      <c r="BS21" s="316"/>
      <c r="BT21" s="316"/>
      <c r="BU21" s="316"/>
      <c r="BV21" s="316"/>
      <c r="BW21" s="316"/>
      <c r="BX21" s="316"/>
      <c r="BY21" s="316"/>
      <c r="BZ21" s="316"/>
      <c r="CA21" s="316"/>
      <c r="CB21" s="316"/>
      <c r="CC21" s="316"/>
      <c r="CD21" s="316"/>
      <c r="CE21" s="316"/>
      <c r="CF21" s="316"/>
      <c r="CG21" s="316"/>
      <c r="CH21" s="316"/>
      <c r="CI21" s="316"/>
      <c r="CJ21" s="316"/>
      <c r="CK21" s="316"/>
      <c r="CL21" s="316"/>
      <c r="CM21" s="316"/>
      <c r="CN21" s="316"/>
      <c r="CO21" s="316"/>
      <c r="CP21" s="316"/>
      <c r="CQ21" s="316"/>
      <c r="CR21" s="316"/>
      <c r="CS21" s="316"/>
      <c r="CT21" s="316"/>
      <c r="CU21" s="316"/>
      <c r="CV21" s="316"/>
      <c r="CW21" s="316"/>
      <c r="CX21" s="316"/>
      <c r="CY21" s="316"/>
      <c r="CZ21" s="316"/>
      <c r="DA21" s="316"/>
      <c r="DB21" s="316"/>
      <c r="DC21" s="316"/>
      <c r="DD21" s="316"/>
      <c r="DE21" s="316"/>
      <c r="DF21" s="316"/>
      <c r="DG21" s="316"/>
      <c r="DH21" s="316"/>
      <c r="DI21" s="316"/>
      <c r="DJ21" s="316"/>
      <c r="DK21" s="316"/>
      <c r="DL21" s="316"/>
      <c r="DM21" s="316"/>
      <c r="DN21" s="316"/>
      <c r="DO21" s="316"/>
      <c r="DP21" s="316"/>
      <c r="DQ21" s="316"/>
      <c r="DR21" s="316"/>
      <c r="DS21" s="316"/>
      <c r="DT21" s="316"/>
      <c r="DU21" s="316"/>
      <c r="DV21" s="316"/>
      <c r="DW21" s="316"/>
      <c r="DX21" s="316"/>
      <c r="DY21" s="316"/>
      <c r="DZ21" s="316"/>
      <c r="EA21" s="316"/>
      <c r="EB21" s="316"/>
      <c r="EC21" s="316"/>
      <c r="ED21" s="316"/>
      <c r="EE21" s="316"/>
      <c r="EF21" s="316"/>
      <c r="EG21" s="316"/>
      <c r="EH21" s="316"/>
      <c r="EI21" s="316"/>
      <c r="EJ21" s="316"/>
      <c r="EK21" s="316"/>
      <c r="EL21" s="316"/>
      <c r="EM21" s="316"/>
      <c r="EN21" s="316"/>
      <c r="EO21" s="316"/>
      <c r="EP21" s="316"/>
      <c r="EQ21" s="316"/>
      <c r="ER21" s="316"/>
      <c r="ES21" s="316"/>
      <c r="ET21" s="316"/>
      <c r="EU21" s="316"/>
      <c r="EV21" s="316"/>
      <c r="EW21" s="316"/>
      <c r="EX21" s="316"/>
      <c r="EY21" s="316"/>
      <c r="EZ21" s="316"/>
      <c r="FA21" s="316"/>
      <c r="FB21" s="316"/>
      <c r="FC21" s="316"/>
      <c r="FD21" s="316"/>
      <c r="FE21" s="316"/>
      <c r="FF21" s="316"/>
      <c r="FG21" s="316"/>
      <c r="FH21" s="316"/>
      <c r="FI21" s="316"/>
      <c r="FJ21" s="316"/>
      <c r="FK21" s="316"/>
      <c r="FL21" s="316"/>
      <c r="FM21" s="316"/>
      <c r="FN21" s="316"/>
      <c r="FO21" s="316"/>
      <c r="FP21" s="316"/>
      <c r="FQ21" s="316"/>
      <c r="FR21" s="316"/>
      <c r="FS21" s="316"/>
      <c r="FT21" s="316"/>
      <c r="FU21" s="316"/>
      <c r="FV21" s="316"/>
      <c r="FW21" s="316"/>
      <c r="FX21" s="316"/>
      <c r="FY21" s="316"/>
      <c r="FZ21" s="316"/>
      <c r="GA21" s="316"/>
      <c r="GB21" s="316"/>
      <c r="GC21" s="316"/>
      <c r="GD21" s="316"/>
      <c r="GE21" s="316"/>
      <c r="GF21" s="316"/>
      <c r="GG21" s="316"/>
      <c r="GH21" s="316"/>
      <c r="GI21" s="316"/>
      <c r="GJ21" s="316"/>
      <c r="GK21" s="316"/>
      <c r="GL21" s="316"/>
      <c r="GM21" s="316"/>
      <c r="GN21" s="316"/>
      <c r="GO21" s="316"/>
      <c r="GP21" s="316"/>
      <c r="GQ21" s="316"/>
      <c r="GR21" s="316"/>
      <c r="GS21" s="316"/>
      <c r="GT21" s="316"/>
      <c r="GU21" s="316"/>
      <c r="GV21" s="316"/>
      <c r="GW21" s="316"/>
      <c r="GX21" s="316"/>
      <c r="GY21" s="316"/>
      <c r="GZ21" s="316"/>
      <c r="HA21" s="316"/>
      <c r="HB21" s="316"/>
      <c r="HC21" s="316"/>
      <c r="HD21" s="316"/>
      <c r="HE21" s="316"/>
      <c r="HF21" s="316"/>
      <c r="HG21" s="316"/>
      <c r="HH21" s="316"/>
      <c r="HI21" s="316"/>
      <c r="HJ21" s="316"/>
      <c r="HK21" s="316"/>
      <c r="HL21" s="316"/>
      <c r="HM21" s="316"/>
      <c r="HN21" s="316"/>
      <c r="HO21" s="316"/>
      <c r="HP21" s="316"/>
      <c r="HQ21" s="316"/>
      <c r="HR21" s="316"/>
      <c r="HS21" s="316"/>
      <c r="HT21" s="316"/>
      <c r="HU21" s="316"/>
      <c r="HV21" s="316"/>
      <c r="HW21" s="316"/>
      <c r="HX21" s="316"/>
      <c r="HY21" s="316"/>
      <c r="HZ21" s="316"/>
      <c r="IA21" s="316"/>
      <c r="IB21" s="316"/>
      <c r="IC21" s="316"/>
      <c r="ID21" s="316"/>
      <c r="IE21" s="316"/>
      <c r="IF21" s="316"/>
      <c r="IG21" s="316"/>
      <c r="IH21" s="316"/>
      <c r="II21" s="316"/>
      <c r="IJ21" s="316"/>
      <c r="IK21" s="316"/>
      <c r="IL21" s="316"/>
      <c r="IM21" s="316"/>
      <c r="IN21" s="316"/>
      <c r="IO21" s="316"/>
      <c r="IP21" s="316"/>
      <c r="IQ21" s="316"/>
      <c r="IR21" s="316"/>
      <c r="IS21" s="316"/>
      <c r="IT21" s="316"/>
      <c r="IU21" s="316"/>
      <c r="IV21" s="316"/>
      <c r="IW21" s="316"/>
      <c r="IX21" s="316"/>
      <c r="IY21" s="316"/>
      <c r="IZ21" s="316"/>
    </row>
    <row r="22" spans="1:260" s="102" customFormat="1" ht="12.95" customHeight="1" x14ac:dyDescent="0.25">
      <c r="A22" s="179">
        <v>324</v>
      </c>
      <c r="B22" s="299" t="s">
        <v>368</v>
      </c>
      <c r="C22" s="217" t="s">
        <v>369</v>
      </c>
      <c r="D22" s="317" t="s">
        <v>998</v>
      </c>
      <c r="E22" s="317" t="s">
        <v>998</v>
      </c>
      <c r="F22" s="317" t="s">
        <v>998</v>
      </c>
      <c r="G22" s="317" t="s">
        <v>999</v>
      </c>
      <c r="H22" s="317" t="s">
        <v>999</v>
      </c>
      <c r="I22" s="317" t="s">
        <v>999</v>
      </c>
      <c r="J22" s="317" t="s">
        <v>999</v>
      </c>
      <c r="K22" s="317" t="s">
        <v>999</v>
      </c>
      <c r="L22" s="317" t="s">
        <v>999</v>
      </c>
      <c r="M22" s="317" t="s">
        <v>999</v>
      </c>
      <c r="N22" s="317" t="s">
        <v>999</v>
      </c>
      <c r="O22" s="317" t="s">
        <v>999</v>
      </c>
      <c r="P22" s="317" t="s">
        <v>999</v>
      </c>
      <c r="Q22" s="317" t="s">
        <v>999</v>
      </c>
      <c r="R22" s="317" t="s">
        <v>999</v>
      </c>
      <c r="S22" s="317" t="s">
        <v>999</v>
      </c>
      <c r="T22" s="317" t="s">
        <v>999</v>
      </c>
      <c r="U22" s="317" t="s">
        <v>998</v>
      </c>
      <c r="V22" s="317" t="s">
        <v>1001</v>
      </c>
      <c r="W22" s="317" t="s">
        <v>999</v>
      </c>
      <c r="X22" s="317" t="s">
        <v>999</v>
      </c>
      <c r="Y22" s="317" t="s">
        <v>1000</v>
      </c>
      <c r="Z22" s="317" t="s">
        <v>998</v>
      </c>
      <c r="AA22" s="317" t="s">
        <v>999</v>
      </c>
      <c r="AB22" s="317" t="s">
        <v>1000</v>
      </c>
      <c r="AC22" s="317" t="s">
        <v>999</v>
      </c>
      <c r="AD22" s="317" t="s">
        <v>999</v>
      </c>
      <c r="AE22" s="317" t="s">
        <v>999</v>
      </c>
      <c r="AF22" s="317"/>
      <c r="AG22" s="317"/>
      <c r="AH22" s="317"/>
      <c r="AI22" s="317"/>
      <c r="AJ22" s="317"/>
      <c r="AK22" s="317"/>
      <c r="AL22" s="317"/>
      <c r="AM22" s="317"/>
      <c r="AN22" s="317"/>
      <c r="AO22" s="317"/>
      <c r="AP22" s="317"/>
      <c r="AQ22" s="317"/>
      <c r="AR22" s="317"/>
      <c r="AS22" s="317"/>
      <c r="AT22" s="317"/>
      <c r="AU22" s="317"/>
      <c r="AV22" s="317"/>
      <c r="AW22" s="317"/>
      <c r="AX22" s="317"/>
      <c r="AY22" s="317"/>
      <c r="AZ22" s="317"/>
      <c r="BA22" s="317"/>
      <c r="BB22" s="317"/>
      <c r="BC22" s="317"/>
      <c r="BD22" s="317"/>
      <c r="BE22" s="317"/>
      <c r="BF22" s="317"/>
      <c r="BG22" s="317"/>
      <c r="BH22" s="317"/>
      <c r="BI22" s="317"/>
      <c r="BJ22" s="317"/>
      <c r="BK22" s="317"/>
      <c r="BL22" s="317"/>
      <c r="BM22" s="317"/>
      <c r="BN22" s="317"/>
      <c r="BO22" s="317"/>
      <c r="BP22" s="317"/>
      <c r="BQ22" s="317"/>
      <c r="BR22" s="317"/>
      <c r="BS22" s="317"/>
      <c r="BT22" s="317"/>
      <c r="BU22" s="317"/>
      <c r="BV22" s="317"/>
      <c r="BW22" s="317"/>
      <c r="BX22" s="317"/>
      <c r="BY22" s="317"/>
      <c r="BZ22" s="317"/>
      <c r="CA22" s="317"/>
      <c r="CB22" s="317"/>
      <c r="CC22" s="317"/>
      <c r="CD22" s="317"/>
      <c r="CE22" s="317"/>
      <c r="CF22" s="317"/>
      <c r="CG22" s="317"/>
      <c r="CH22" s="317"/>
      <c r="CI22" s="317"/>
      <c r="CJ22" s="317"/>
      <c r="CK22" s="317"/>
      <c r="CL22" s="317"/>
      <c r="CM22" s="317"/>
      <c r="CN22" s="317"/>
      <c r="CO22" s="317"/>
      <c r="CP22" s="317"/>
      <c r="CQ22" s="317"/>
      <c r="CR22" s="317"/>
      <c r="CS22" s="317"/>
      <c r="CT22" s="317"/>
      <c r="CU22" s="317"/>
      <c r="CV22" s="317"/>
      <c r="CW22" s="317"/>
      <c r="CX22" s="317"/>
      <c r="CY22" s="317"/>
      <c r="CZ22" s="317"/>
      <c r="DA22" s="317"/>
      <c r="DB22" s="317"/>
      <c r="DC22" s="317"/>
      <c r="DD22" s="317"/>
      <c r="DE22" s="317"/>
      <c r="DF22" s="317"/>
      <c r="DG22" s="317"/>
      <c r="DH22" s="317"/>
      <c r="DI22" s="317"/>
      <c r="DJ22" s="317"/>
      <c r="DK22" s="317"/>
      <c r="DL22" s="317"/>
      <c r="DM22" s="317"/>
      <c r="DN22" s="317"/>
      <c r="DO22" s="317"/>
      <c r="DP22" s="317"/>
      <c r="DQ22" s="317"/>
      <c r="DR22" s="317"/>
      <c r="DS22" s="317"/>
      <c r="DT22" s="317"/>
      <c r="DU22" s="317"/>
      <c r="DV22" s="317"/>
      <c r="DW22" s="317"/>
      <c r="DX22" s="317"/>
      <c r="DY22" s="317"/>
      <c r="DZ22" s="317"/>
      <c r="EA22" s="317"/>
      <c r="EB22" s="317"/>
      <c r="EC22" s="317"/>
      <c r="ED22" s="317"/>
      <c r="EE22" s="317"/>
      <c r="EF22" s="317"/>
      <c r="EG22" s="317"/>
      <c r="EH22" s="317"/>
      <c r="EI22" s="317"/>
      <c r="EJ22" s="317"/>
      <c r="EK22" s="317"/>
      <c r="EL22" s="317"/>
      <c r="EM22" s="317"/>
      <c r="EN22" s="317"/>
      <c r="EO22" s="317"/>
      <c r="EP22" s="317"/>
      <c r="EQ22" s="317"/>
      <c r="ER22" s="317"/>
      <c r="ES22" s="317"/>
      <c r="ET22" s="317"/>
      <c r="EU22" s="317"/>
      <c r="EV22" s="317"/>
      <c r="EW22" s="317"/>
      <c r="EX22" s="317"/>
      <c r="EY22" s="317"/>
      <c r="EZ22" s="317"/>
      <c r="FA22" s="317"/>
      <c r="FB22" s="317"/>
      <c r="FC22" s="317"/>
      <c r="FD22" s="317"/>
      <c r="FE22" s="317"/>
      <c r="FF22" s="317"/>
      <c r="FG22" s="317"/>
      <c r="FH22" s="317"/>
      <c r="FI22" s="317"/>
      <c r="FJ22" s="317"/>
      <c r="FK22" s="317"/>
      <c r="FL22" s="317"/>
      <c r="FM22" s="317"/>
      <c r="FN22" s="317"/>
      <c r="FO22" s="317"/>
      <c r="FP22" s="317"/>
      <c r="FQ22" s="317"/>
      <c r="FR22" s="317"/>
      <c r="FS22" s="317"/>
      <c r="FT22" s="317"/>
      <c r="FU22" s="317"/>
      <c r="FV22" s="317"/>
      <c r="FW22" s="317"/>
      <c r="FX22" s="317"/>
      <c r="FY22" s="317"/>
      <c r="FZ22" s="317"/>
      <c r="GA22" s="317"/>
      <c r="GB22" s="317"/>
      <c r="GC22" s="317"/>
      <c r="GD22" s="317"/>
      <c r="GE22" s="317"/>
      <c r="GF22" s="317"/>
      <c r="GG22" s="317"/>
      <c r="GH22" s="317"/>
      <c r="GI22" s="317"/>
      <c r="GJ22" s="317"/>
      <c r="GK22" s="317"/>
      <c r="GL22" s="317"/>
      <c r="GM22" s="317"/>
      <c r="GN22" s="317"/>
      <c r="GO22" s="317"/>
      <c r="GP22" s="317"/>
      <c r="GQ22" s="317"/>
      <c r="GR22" s="317"/>
      <c r="GS22" s="317"/>
      <c r="GT22" s="317"/>
      <c r="GU22" s="317"/>
      <c r="GV22" s="317"/>
      <c r="GW22" s="317"/>
      <c r="GX22" s="317"/>
      <c r="GY22" s="317"/>
      <c r="GZ22" s="317"/>
      <c r="HA22" s="317"/>
      <c r="HB22" s="317"/>
      <c r="HC22" s="317"/>
      <c r="HD22" s="317"/>
      <c r="HE22" s="317"/>
      <c r="HF22" s="317"/>
      <c r="HG22" s="317"/>
      <c r="HH22" s="317"/>
      <c r="HI22" s="317"/>
      <c r="HJ22" s="317"/>
      <c r="HK22" s="317"/>
      <c r="HL22" s="317"/>
      <c r="HM22" s="317"/>
      <c r="HN22" s="317"/>
      <c r="HO22" s="317"/>
      <c r="HP22" s="317"/>
      <c r="HQ22" s="317"/>
      <c r="HR22" s="317"/>
      <c r="HS22" s="317"/>
      <c r="HT22" s="317"/>
      <c r="HU22" s="317"/>
      <c r="HV22" s="317"/>
      <c r="HW22" s="317"/>
      <c r="HX22" s="317"/>
      <c r="HY22" s="317"/>
      <c r="HZ22" s="317"/>
      <c r="IA22" s="317"/>
      <c r="IB22" s="317"/>
      <c r="IC22" s="317"/>
      <c r="ID22" s="317"/>
      <c r="IE22" s="317"/>
      <c r="IF22" s="317"/>
      <c r="IG22" s="317"/>
      <c r="IH22" s="317"/>
      <c r="II22" s="317"/>
      <c r="IJ22" s="317"/>
      <c r="IK22" s="317"/>
      <c r="IL22" s="317"/>
      <c r="IM22" s="317"/>
      <c r="IN22" s="317"/>
      <c r="IO22" s="317"/>
      <c r="IP22" s="317"/>
      <c r="IQ22" s="317"/>
      <c r="IR22" s="317"/>
      <c r="IS22" s="317"/>
      <c r="IT22" s="317"/>
      <c r="IU22" s="317"/>
      <c r="IV22" s="317"/>
      <c r="IW22" s="317"/>
      <c r="IX22" s="317"/>
      <c r="IY22" s="317"/>
      <c r="IZ22" s="317"/>
    </row>
    <row r="23" spans="1:260" s="106" customFormat="1" ht="12.95" customHeight="1" x14ac:dyDescent="0.25">
      <c r="A23" s="179">
        <v>325</v>
      </c>
      <c r="B23" s="217" t="s">
        <v>179</v>
      </c>
      <c r="C23" s="298" t="s">
        <v>370</v>
      </c>
      <c r="D23" s="318">
        <v>124000</v>
      </c>
      <c r="E23" s="318">
        <v>65000</v>
      </c>
      <c r="F23" s="318">
        <v>22000</v>
      </c>
      <c r="G23" s="318">
        <v>68000</v>
      </c>
      <c r="H23" s="318">
        <v>54000</v>
      </c>
      <c r="I23" s="318">
        <v>52000</v>
      </c>
      <c r="J23" s="318">
        <v>58000</v>
      </c>
      <c r="K23" s="318">
        <v>45000</v>
      </c>
      <c r="L23" s="318">
        <v>41000</v>
      </c>
      <c r="M23" s="318">
        <v>38000</v>
      </c>
      <c r="N23" s="318">
        <v>38000</v>
      </c>
      <c r="O23" s="318">
        <v>28500</v>
      </c>
      <c r="P23" s="318">
        <v>23000</v>
      </c>
      <c r="Q23" s="318">
        <v>27000</v>
      </c>
      <c r="R23" s="318">
        <v>16500</v>
      </c>
      <c r="S23" s="318">
        <v>27000</v>
      </c>
      <c r="T23" s="318">
        <v>96000</v>
      </c>
      <c r="U23" s="318">
        <v>30000</v>
      </c>
      <c r="V23" s="318">
        <v>65000</v>
      </c>
      <c r="W23" s="318">
        <v>62000</v>
      </c>
      <c r="X23" s="318">
        <v>9000</v>
      </c>
      <c r="Y23" s="318">
        <v>50000</v>
      </c>
      <c r="Z23" s="318">
        <v>30000</v>
      </c>
      <c r="AA23" s="318">
        <v>30000</v>
      </c>
      <c r="AB23" s="318">
        <v>25000</v>
      </c>
      <c r="AC23" s="318">
        <v>24000</v>
      </c>
      <c r="AD23" s="318">
        <v>25000</v>
      </c>
      <c r="AE23" s="318">
        <v>18000</v>
      </c>
      <c r="AF23" s="318"/>
      <c r="AG23" s="318"/>
      <c r="AH23" s="318"/>
      <c r="AI23" s="318"/>
      <c r="AJ23" s="318"/>
      <c r="AK23" s="318"/>
      <c r="AL23" s="318"/>
      <c r="AM23" s="318"/>
      <c r="AN23" s="318"/>
      <c r="AO23" s="318"/>
      <c r="AP23" s="318"/>
      <c r="AQ23" s="318"/>
      <c r="AR23" s="318"/>
      <c r="AS23" s="318"/>
      <c r="AT23" s="318"/>
      <c r="AU23" s="318"/>
      <c r="AV23" s="318"/>
      <c r="AW23" s="318"/>
      <c r="AX23" s="318"/>
      <c r="AY23" s="318"/>
      <c r="AZ23" s="318"/>
      <c r="BA23" s="318"/>
      <c r="BB23" s="318"/>
      <c r="BC23" s="318"/>
      <c r="BD23" s="318"/>
      <c r="BE23" s="318"/>
      <c r="BF23" s="318"/>
      <c r="BG23" s="318"/>
      <c r="BH23" s="318"/>
      <c r="BI23" s="318"/>
      <c r="BJ23" s="318"/>
      <c r="BK23" s="318"/>
      <c r="BL23" s="318"/>
      <c r="BM23" s="318"/>
      <c r="BN23" s="318"/>
      <c r="BO23" s="318"/>
      <c r="BP23" s="318"/>
      <c r="BQ23" s="318"/>
      <c r="BR23" s="318"/>
      <c r="BS23" s="318"/>
      <c r="BT23" s="318"/>
      <c r="BU23" s="318"/>
      <c r="BV23" s="318"/>
      <c r="BW23" s="318"/>
      <c r="BX23" s="318"/>
      <c r="BY23" s="318"/>
      <c r="BZ23" s="318"/>
      <c r="CA23" s="318"/>
      <c r="CB23" s="318"/>
      <c r="CC23" s="318"/>
      <c r="CD23" s="318"/>
      <c r="CE23" s="318"/>
      <c r="CF23" s="318"/>
      <c r="CG23" s="318"/>
      <c r="CH23" s="318"/>
      <c r="CI23" s="318"/>
      <c r="CJ23" s="318"/>
      <c r="CK23" s="318"/>
      <c r="CL23" s="318"/>
      <c r="CM23" s="318"/>
      <c r="CN23" s="318"/>
      <c r="CO23" s="318"/>
      <c r="CP23" s="318"/>
      <c r="CQ23" s="318"/>
      <c r="CR23" s="318"/>
      <c r="CS23" s="318"/>
      <c r="CT23" s="318"/>
      <c r="CU23" s="318"/>
      <c r="CV23" s="318"/>
      <c r="CW23" s="318"/>
      <c r="CX23" s="318"/>
      <c r="CY23" s="318"/>
      <c r="CZ23" s="318"/>
      <c r="DA23" s="318"/>
      <c r="DB23" s="318"/>
      <c r="DC23" s="318"/>
      <c r="DD23" s="318"/>
      <c r="DE23" s="318"/>
      <c r="DF23" s="318"/>
      <c r="DG23" s="318"/>
      <c r="DH23" s="318"/>
      <c r="DI23" s="318"/>
      <c r="DJ23" s="318"/>
      <c r="DK23" s="318"/>
      <c r="DL23" s="318"/>
      <c r="DM23" s="318"/>
      <c r="DN23" s="318"/>
      <c r="DO23" s="318"/>
      <c r="DP23" s="318"/>
      <c r="DQ23" s="318"/>
      <c r="DR23" s="318"/>
      <c r="DS23" s="318"/>
      <c r="DT23" s="318"/>
      <c r="DU23" s="318"/>
      <c r="DV23" s="318"/>
      <c r="DW23" s="318"/>
      <c r="DX23" s="318"/>
      <c r="DY23" s="318"/>
      <c r="DZ23" s="318"/>
      <c r="EA23" s="318"/>
      <c r="EB23" s="318"/>
      <c r="EC23" s="318"/>
      <c r="ED23" s="318"/>
      <c r="EE23" s="318"/>
      <c r="EF23" s="318"/>
      <c r="EG23" s="318"/>
      <c r="EH23" s="318"/>
      <c r="EI23" s="318"/>
      <c r="EJ23" s="318"/>
      <c r="EK23" s="318"/>
      <c r="EL23" s="318"/>
      <c r="EM23" s="318"/>
      <c r="EN23" s="318"/>
      <c r="EO23" s="318"/>
      <c r="EP23" s="318"/>
      <c r="EQ23" s="318"/>
      <c r="ER23" s="318"/>
      <c r="ES23" s="318"/>
      <c r="ET23" s="318"/>
      <c r="EU23" s="318"/>
      <c r="EV23" s="318"/>
      <c r="EW23" s="318"/>
      <c r="EX23" s="318"/>
      <c r="EY23" s="318"/>
      <c r="EZ23" s="318"/>
      <c r="FA23" s="318"/>
      <c r="FB23" s="318"/>
      <c r="FC23" s="318"/>
      <c r="FD23" s="318"/>
      <c r="FE23" s="318"/>
      <c r="FF23" s="318"/>
      <c r="FG23" s="318"/>
      <c r="FH23" s="318"/>
      <c r="FI23" s="318"/>
      <c r="FJ23" s="318"/>
      <c r="FK23" s="318"/>
      <c r="FL23" s="318"/>
      <c r="FM23" s="318"/>
      <c r="FN23" s="318"/>
      <c r="FO23" s="318"/>
      <c r="FP23" s="318"/>
      <c r="FQ23" s="318"/>
      <c r="FR23" s="318"/>
      <c r="FS23" s="318"/>
      <c r="FT23" s="318"/>
      <c r="FU23" s="318"/>
      <c r="FV23" s="318"/>
      <c r="FW23" s="318"/>
      <c r="FX23" s="318"/>
      <c r="FY23" s="318"/>
      <c r="FZ23" s="318"/>
      <c r="GA23" s="318"/>
      <c r="GB23" s="318"/>
      <c r="GC23" s="318"/>
      <c r="GD23" s="318"/>
      <c r="GE23" s="318"/>
      <c r="GF23" s="318"/>
      <c r="GG23" s="318"/>
      <c r="GH23" s="318"/>
      <c r="GI23" s="318"/>
      <c r="GJ23" s="318"/>
      <c r="GK23" s="318"/>
      <c r="GL23" s="318"/>
      <c r="GM23" s="318"/>
      <c r="GN23" s="318"/>
      <c r="GO23" s="318"/>
      <c r="GP23" s="318"/>
      <c r="GQ23" s="318"/>
      <c r="GR23" s="318"/>
      <c r="GS23" s="318"/>
      <c r="GT23" s="318"/>
      <c r="GU23" s="318"/>
      <c r="GV23" s="318"/>
      <c r="GW23" s="318"/>
      <c r="GX23" s="318"/>
      <c r="GY23" s="318"/>
      <c r="GZ23" s="318"/>
      <c r="HA23" s="318"/>
      <c r="HB23" s="318"/>
      <c r="HC23" s="318"/>
      <c r="HD23" s="318"/>
      <c r="HE23" s="318"/>
      <c r="HF23" s="318"/>
      <c r="HG23" s="318"/>
      <c r="HH23" s="318"/>
      <c r="HI23" s="318"/>
      <c r="HJ23" s="318"/>
      <c r="HK23" s="318"/>
      <c r="HL23" s="318"/>
      <c r="HM23" s="318"/>
      <c r="HN23" s="318"/>
      <c r="HO23" s="318"/>
      <c r="HP23" s="318"/>
      <c r="HQ23" s="318"/>
      <c r="HR23" s="318"/>
      <c r="HS23" s="318"/>
      <c r="HT23" s="318"/>
      <c r="HU23" s="318"/>
      <c r="HV23" s="318"/>
      <c r="HW23" s="318"/>
      <c r="HX23" s="318"/>
      <c r="HY23" s="318"/>
      <c r="HZ23" s="318"/>
      <c r="IA23" s="318"/>
      <c r="IB23" s="318"/>
      <c r="IC23" s="318"/>
      <c r="ID23" s="318"/>
      <c r="IE23" s="318"/>
      <c r="IF23" s="318"/>
      <c r="IG23" s="318"/>
      <c r="IH23" s="318"/>
      <c r="II23" s="318"/>
      <c r="IJ23" s="318"/>
      <c r="IK23" s="318"/>
      <c r="IL23" s="318"/>
      <c r="IM23" s="318"/>
      <c r="IN23" s="318"/>
      <c r="IO23" s="318"/>
      <c r="IP23" s="318"/>
      <c r="IQ23" s="318"/>
      <c r="IR23" s="318"/>
      <c r="IS23" s="318"/>
      <c r="IT23" s="318"/>
      <c r="IU23" s="318"/>
      <c r="IV23" s="318"/>
      <c r="IW23" s="318"/>
      <c r="IX23" s="318"/>
      <c r="IY23" s="318"/>
      <c r="IZ23" s="318"/>
    </row>
    <row r="24" spans="1:260" s="106" customFormat="1" ht="12.95" customHeight="1" x14ac:dyDescent="0.25">
      <c r="A24" s="179">
        <v>326</v>
      </c>
      <c r="B24" s="338" t="s">
        <v>693</v>
      </c>
      <c r="C24" s="339" t="s">
        <v>694</v>
      </c>
      <c r="D24" s="318"/>
      <c r="E24" s="318"/>
      <c r="F24" s="318"/>
      <c r="G24" s="318"/>
      <c r="H24" s="318"/>
      <c r="I24" s="318"/>
      <c r="J24" s="318"/>
      <c r="K24" s="318"/>
      <c r="L24" s="318"/>
      <c r="M24" s="318"/>
      <c r="N24" s="318"/>
      <c r="O24" s="318"/>
      <c r="P24" s="318"/>
      <c r="Q24" s="318"/>
      <c r="R24" s="318"/>
      <c r="S24" s="318"/>
      <c r="T24" s="318"/>
      <c r="U24" s="318"/>
      <c r="V24" s="318"/>
      <c r="W24" s="318"/>
      <c r="X24" s="318"/>
      <c r="Y24" s="318"/>
      <c r="Z24" s="318"/>
      <c r="AA24" s="318"/>
      <c r="AB24" s="318"/>
      <c r="AC24" s="318"/>
      <c r="AD24" s="318"/>
      <c r="AE24" s="318"/>
      <c r="AF24" s="318"/>
      <c r="AG24" s="318"/>
      <c r="AH24" s="318"/>
      <c r="AI24" s="318"/>
      <c r="AJ24" s="318"/>
      <c r="AK24" s="318"/>
      <c r="AL24" s="318"/>
      <c r="AM24" s="318"/>
      <c r="AN24" s="318"/>
      <c r="AO24" s="318"/>
      <c r="AP24" s="318"/>
      <c r="AQ24" s="318"/>
      <c r="AR24" s="318"/>
      <c r="AS24" s="318"/>
      <c r="AT24" s="318"/>
      <c r="AU24" s="318"/>
      <c r="AV24" s="318"/>
      <c r="AW24" s="318"/>
      <c r="AX24" s="318"/>
      <c r="AY24" s="318"/>
      <c r="AZ24" s="318"/>
      <c r="BA24" s="318"/>
      <c r="BB24" s="318"/>
      <c r="BC24" s="318"/>
      <c r="BD24" s="318"/>
      <c r="BE24" s="318"/>
      <c r="BF24" s="318"/>
      <c r="BG24" s="318"/>
      <c r="BH24" s="318"/>
      <c r="BI24" s="318"/>
      <c r="BJ24" s="318"/>
      <c r="BK24" s="318"/>
      <c r="BL24" s="318"/>
      <c r="BM24" s="318"/>
      <c r="BN24" s="318"/>
      <c r="BO24" s="318"/>
      <c r="BP24" s="318"/>
      <c r="BQ24" s="318"/>
      <c r="BR24" s="318"/>
      <c r="BS24" s="318"/>
      <c r="BT24" s="318"/>
      <c r="BU24" s="318"/>
      <c r="BV24" s="318"/>
      <c r="BW24" s="318"/>
      <c r="BX24" s="318"/>
      <c r="BY24" s="318"/>
      <c r="BZ24" s="318"/>
      <c r="CA24" s="318"/>
      <c r="CB24" s="318"/>
      <c r="CC24" s="318"/>
      <c r="CD24" s="318"/>
      <c r="CE24" s="318"/>
      <c r="CF24" s="318"/>
      <c r="CG24" s="318"/>
      <c r="CH24" s="318"/>
      <c r="CI24" s="318"/>
      <c r="CJ24" s="318"/>
      <c r="CK24" s="318"/>
      <c r="CL24" s="318"/>
      <c r="CM24" s="318"/>
      <c r="CN24" s="318"/>
      <c r="CO24" s="318"/>
      <c r="CP24" s="318"/>
      <c r="CQ24" s="318"/>
      <c r="CR24" s="318"/>
      <c r="CS24" s="318"/>
      <c r="CT24" s="318"/>
      <c r="CU24" s="318"/>
      <c r="CV24" s="318"/>
      <c r="CW24" s="318"/>
      <c r="CX24" s="318"/>
      <c r="CY24" s="318"/>
      <c r="CZ24" s="318"/>
      <c r="DA24" s="318"/>
      <c r="DB24" s="318"/>
      <c r="DC24" s="318"/>
      <c r="DD24" s="318"/>
      <c r="DE24" s="318"/>
      <c r="DF24" s="318"/>
      <c r="DG24" s="318"/>
      <c r="DH24" s="318"/>
      <c r="DI24" s="318"/>
      <c r="DJ24" s="318"/>
      <c r="DK24" s="318"/>
      <c r="DL24" s="318"/>
      <c r="DM24" s="318"/>
      <c r="DN24" s="318"/>
      <c r="DO24" s="318"/>
      <c r="DP24" s="318"/>
      <c r="DQ24" s="318"/>
      <c r="DR24" s="318"/>
      <c r="DS24" s="318"/>
      <c r="DT24" s="318"/>
      <c r="DU24" s="318"/>
      <c r="DV24" s="318"/>
      <c r="DW24" s="318"/>
      <c r="DX24" s="318"/>
      <c r="DY24" s="318"/>
      <c r="DZ24" s="318"/>
      <c r="EA24" s="318"/>
      <c r="EB24" s="318"/>
      <c r="EC24" s="318"/>
      <c r="ED24" s="318"/>
      <c r="EE24" s="318"/>
      <c r="EF24" s="318"/>
      <c r="EG24" s="318"/>
      <c r="EH24" s="318"/>
      <c r="EI24" s="318"/>
      <c r="EJ24" s="318"/>
      <c r="EK24" s="318"/>
      <c r="EL24" s="318"/>
      <c r="EM24" s="318"/>
      <c r="EN24" s="318"/>
      <c r="EO24" s="318"/>
      <c r="EP24" s="318"/>
      <c r="EQ24" s="318"/>
      <c r="ER24" s="318"/>
      <c r="ES24" s="318"/>
      <c r="ET24" s="318"/>
      <c r="EU24" s="318"/>
      <c r="EV24" s="318"/>
      <c r="EW24" s="318"/>
      <c r="EX24" s="318"/>
      <c r="EY24" s="318"/>
      <c r="EZ24" s="318"/>
      <c r="FA24" s="318"/>
      <c r="FB24" s="318"/>
      <c r="FC24" s="318"/>
      <c r="FD24" s="318"/>
      <c r="FE24" s="318"/>
      <c r="FF24" s="318"/>
      <c r="FG24" s="318"/>
      <c r="FH24" s="318"/>
      <c r="FI24" s="318"/>
      <c r="FJ24" s="318"/>
      <c r="FK24" s="318"/>
      <c r="FL24" s="318"/>
      <c r="FM24" s="318"/>
      <c r="FN24" s="318"/>
      <c r="FO24" s="318"/>
      <c r="FP24" s="318"/>
      <c r="FQ24" s="318"/>
      <c r="FR24" s="318"/>
      <c r="FS24" s="318"/>
      <c r="FT24" s="318"/>
      <c r="FU24" s="318"/>
      <c r="FV24" s="318"/>
      <c r="FW24" s="318"/>
      <c r="FX24" s="318"/>
      <c r="FY24" s="318"/>
      <c r="FZ24" s="318"/>
      <c r="GA24" s="318"/>
      <c r="GB24" s="318"/>
      <c r="GC24" s="318"/>
      <c r="GD24" s="318"/>
      <c r="GE24" s="318"/>
      <c r="GF24" s="318"/>
      <c r="GG24" s="318"/>
      <c r="GH24" s="318"/>
      <c r="GI24" s="318"/>
      <c r="GJ24" s="318"/>
      <c r="GK24" s="318"/>
      <c r="GL24" s="318"/>
      <c r="GM24" s="318"/>
      <c r="GN24" s="318"/>
      <c r="GO24" s="318"/>
      <c r="GP24" s="318"/>
      <c r="GQ24" s="318"/>
      <c r="GR24" s="318"/>
      <c r="GS24" s="318"/>
      <c r="GT24" s="318"/>
      <c r="GU24" s="318"/>
      <c r="GV24" s="318"/>
      <c r="GW24" s="318"/>
      <c r="GX24" s="318"/>
      <c r="GY24" s="318"/>
      <c r="GZ24" s="318"/>
      <c r="HA24" s="318"/>
      <c r="HB24" s="318"/>
      <c r="HC24" s="318"/>
      <c r="HD24" s="318"/>
      <c r="HE24" s="318"/>
      <c r="HF24" s="318"/>
      <c r="HG24" s="318"/>
      <c r="HH24" s="318"/>
      <c r="HI24" s="318"/>
      <c r="HJ24" s="318"/>
      <c r="HK24" s="318"/>
      <c r="HL24" s="318"/>
      <c r="HM24" s="318"/>
      <c r="HN24" s="318"/>
      <c r="HO24" s="318"/>
      <c r="HP24" s="318"/>
      <c r="HQ24" s="318"/>
      <c r="HR24" s="318"/>
      <c r="HS24" s="318"/>
      <c r="HT24" s="318"/>
      <c r="HU24" s="318"/>
      <c r="HV24" s="318"/>
      <c r="HW24" s="318"/>
      <c r="HX24" s="318"/>
      <c r="HY24" s="318"/>
      <c r="HZ24" s="318"/>
      <c r="IA24" s="318"/>
      <c r="IB24" s="318"/>
      <c r="IC24" s="318"/>
      <c r="ID24" s="318"/>
      <c r="IE24" s="318"/>
      <c r="IF24" s="318"/>
      <c r="IG24" s="318"/>
      <c r="IH24" s="318"/>
      <c r="II24" s="318"/>
      <c r="IJ24" s="318"/>
      <c r="IK24" s="318"/>
      <c r="IL24" s="318"/>
      <c r="IM24" s="318"/>
      <c r="IN24" s="318"/>
      <c r="IO24" s="318"/>
      <c r="IP24" s="318"/>
      <c r="IQ24" s="318"/>
      <c r="IR24" s="318"/>
      <c r="IS24" s="318"/>
      <c r="IT24" s="318"/>
      <c r="IU24" s="318"/>
      <c r="IV24" s="318"/>
      <c r="IW24" s="318"/>
      <c r="IX24" s="318"/>
      <c r="IY24" s="318"/>
      <c r="IZ24" s="318"/>
    </row>
    <row r="25" spans="1:260" s="102" customFormat="1" ht="12.95" customHeight="1" x14ac:dyDescent="0.25">
      <c r="A25" s="179">
        <v>330</v>
      </c>
      <c r="B25" s="217"/>
      <c r="C25" s="298" t="s">
        <v>371</v>
      </c>
      <c r="D25" s="319">
        <f>IF(ISBLANK(D22),0,SUM(D23,-D24)/VLOOKUP(D22,$B$36:$E$41,4,0))</f>
        <v>2480</v>
      </c>
      <c r="E25" s="319">
        <f t="shared" ref="E25:BP25" si="0">IF(ISBLANK(E22),0,SUM(E23,-E24)/VLOOKUP(E22,$B$36:$E$41,4,0))</f>
        <v>1300</v>
      </c>
      <c r="F25" s="319">
        <f t="shared" si="0"/>
        <v>440</v>
      </c>
      <c r="G25" s="319">
        <f t="shared" si="0"/>
        <v>2266.6666666666665</v>
      </c>
      <c r="H25" s="319">
        <f t="shared" si="0"/>
        <v>1800</v>
      </c>
      <c r="I25" s="319">
        <f t="shared" si="0"/>
        <v>1733.3333333333333</v>
      </c>
      <c r="J25" s="319">
        <f t="shared" si="0"/>
        <v>1933.3333333333333</v>
      </c>
      <c r="K25" s="319">
        <f t="shared" si="0"/>
        <v>1500</v>
      </c>
      <c r="L25" s="319">
        <f t="shared" si="0"/>
        <v>1366.6666666666667</v>
      </c>
      <c r="M25" s="319">
        <f t="shared" si="0"/>
        <v>1266.6666666666667</v>
      </c>
      <c r="N25" s="319">
        <f t="shared" si="0"/>
        <v>1266.6666666666667</v>
      </c>
      <c r="O25" s="319">
        <f t="shared" si="0"/>
        <v>950</v>
      </c>
      <c r="P25" s="319">
        <f t="shared" si="0"/>
        <v>766.66666666666663</v>
      </c>
      <c r="Q25" s="319">
        <f t="shared" si="0"/>
        <v>900</v>
      </c>
      <c r="R25" s="319">
        <f t="shared" si="0"/>
        <v>550</v>
      </c>
      <c r="S25" s="319">
        <f t="shared" si="0"/>
        <v>900</v>
      </c>
      <c r="T25" s="319">
        <f t="shared" si="0"/>
        <v>3200</v>
      </c>
      <c r="U25" s="319">
        <f t="shared" si="0"/>
        <v>600</v>
      </c>
      <c r="V25" s="319">
        <f t="shared" si="0"/>
        <v>2600</v>
      </c>
      <c r="W25" s="319">
        <f t="shared" si="0"/>
        <v>2066.6666666666665</v>
      </c>
      <c r="X25" s="319">
        <f t="shared" si="0"/>
        <v>300</v>
      </c>
      <c r="Y25" s="319">
        <f t="shared" si="0"/>
        <v>1666.6666666666667</v>
      </c>
      <c r="Z25" s="319">
        <f t="shared" si="0"/>
        <v>600</v>
      </c>
      <c r="AA25" s="319">
        <f t="shared" si="0"/>
        <v>1000</v>
      </c>
      <c r="AB25" s="319">
        <f t="shared" si="0"/>
        <v>833.33333333333337</v>
      </c>
      <c r="AC25" s="319">
        <f t="shared" si="0"/>
        <v>800</v>
      </c>
      <c r="AD25" s="319">
        <f t="shared" si="0"/>
        <v>833.33333333333337</v>
      </c>
      <c r="AE25" s="319">
        <f t="shared" si="0"/>
        <v>600</v>
      </c>
      <c r="AF25" s="319">
        <f t="shared" si="0"/>
        <v>0</v>
      </c>
      <c r="AG25" s="319">
        <f t="shared" si="0"/>
        <v>0</v>
      </c>
      <c r="AH25" s="319">
        <f t="shared" si="0"/>
        <v>0</v>
      </c>
      <c r="AI25" s="319">
        <f t="shared" si="0"/>
        <v>0</v>
      </c>
      <c r="AJ25" s="319">
        <f t="shared" si="0"/>
        <v>0</v>
      </c>
      <c r="AK25" s="319">
        <f t="shared" si="0"/>
        <v>0</v>
      </c>
      <c r="AL25" s="319">
        <f t="shared" si="0"/>
        <v>0</v>
      </c>
      <c r="AM25" s="319">
        <f t="shared" si="0"/>
        <v>0</v>
      </c>
      <c r="AN25" s="319">
        <f t="shared" si="0"/>
        <v>0</v>
      </c>
      <c r="AO25" s="319">
        <f t="shared" si="0"/>
        <v>0</v>
      </c>
      <c r="AP25" s="319">
        <f t="shared" si="0"/>
        <v>0</v>
      </c>
      <c r="AQ25" s="319">
        <f t="shared" si="0"/>
        <v>0</v>
      </c>
      <c r="AR25" s="319">
        <f t="shared" si="0"/>
        <v>0</v>
      </c>
      <c r="AS25" s="319">
        <f t="shared" si="0"/>
        <v>0</v>
      </c>
      <c r="AT25" s="319">
        <f t="shared" si="0"/>
        <v>0</v>
      </c>
      <c r="AU25" s="319">
        <f t="shared" si="0"/>
        <v>0</v>
      </c>
      <c r="AV25" s="319">
        <f t="shared" si="0"/>
        <v>0</v>
      </c>
      <c r="AW25" s="319">
        <f t="shared" si="0"/>
        <v>0</v>
      </c>
      <c r="AX25" s="319">
        <f t="shared" si="0"/>
        <v>0</v>
      </c>
      <c r="AY25" s="319">
        <f t="shared" si="0"/>
        <v>0</v>
      </c>
      <c r="AZ25" s="319">
        <f t="shared" si="0"/>
        <v>0</v>
      </c>
      <c r="BA25" s="319">
        <f t="shared" si="0"/>
        <v>0</v>
      </c>
      <c r="BB25" s="319">
        <f t="shared" si="0"/>
        <v>0</v>
      </c>
      <c r="BC25" s="319">
        <f t="shared" si="0"/>
        <v>0</v>
      </c>
      <c r="BD25" s="319">
        <f t="shared" si="0"/>
        <v>0</v>
      </c>
      <c r="BE25" s="319">
        <f t="shared" si="0"/>
        <v>0</v>
      </c>
      <c r="BF25" s="319">
        <f t="shared" si="0"/>
        <v>0</v>
      </c>
      <c r="BG25" s="319">
        <f t="shared" si="0"/>
        <v>0</v>
      </c>
      <c r="BH25" s="319">
        <f t="shared" si="0"/>
        <v>0</v>
      </c>
      <c r="BI25" s="319">
        <f t="shared" si="0"/>
        <v>0</v>
      </c>
      <c r="BJ25" s="319">
        <f t="shared" si="0"/>
        <v>0</v>
      </c>
      <c r="BK25" s="319">
        <f t="shared" si="0"/>
        <v>0</v>
      </c>
      <c r="BL25" s="319">
        <f t="shared" si="0"/>
        <v>0</v>
      </c>
      <c r="BM25" s="319">
        <f t="shared" si="0"/>
        <v>0</v>
      </c>
      <c r="BN25" s="319">
        <f t="shared" si="0"/>
        <v>0</v>
      </c>
      <c r="BO25" s="319">
        <f t="shared" si="0"/>
        <v>0</v>
      </c>
      <c r="BP25" s="319">
        <f t="shared" si="0"/>
        <v>0</v>
      </c>
      <c r="BQ25" s="319">
        <f t="shared" ref="BQ25:EB25" si="1">IF(ISBLANK(BQ22),0,SUM(BQ23,-BQ24)/VLOOKUP(BQ22,$B$36:$E$41,4,0))</f>
        <v>0</v>
      </c>
      <c r="BR25" s="319">
        <f t="shared" si="1"/>
        <v>0</v>
      </c>
      <c r="BS25" s="319">
        <f t="shared" si="1"/>
        <v>0</v>
      </c>
      <c r="BT25" s="319">
        <f t="shared" si="1"/>
        <v>0</v>
      </c>
      <c r="BU25" s="319">
        <f t="shared" si="1"/>
        <v>0</v>
      </c>
      <c r="BV25" s="319">
        <f t="shared" si="1"/>
        <v>0</v>
      </c>
      <c r="BW25" s="319">
        <f t="shared" si="1"/>
        <v>0</v>
      </c>
      <c r="BX25" s="319">
        <f t="shared" si="1"/>
        <v>0</v>
      </c>
      <c r="BY25" s="319">
        <f t="shared" si="1"/>
        <v>0</v>
      </c>
      <c r="BZ25" s="319">
        <f t="shared" si="1"/>
        <v>0</v>
      </c>
      <c r="CA25" s="319">
        <f t="shared" si="1"/>
        <v>0</v>
      </c>
      <c r="CB25" s="319">
        <f t="shared" si="1"/>
        <v>0</v>
      </c>
      <c r="CC25" s="319">
        <f t="shared" si="1"/>
        <v>0</v>
      </c>
      <c r="CD25" s="319">
        <f t="shared" si="1"/>
        <v>0</v>
      </c>
      <c r="CE25" s="319">
        <f t="shared" si="1"/>
        <v>0</v>
      </c>
      <c r="CF25" s="319">
        <f t="shared" si="1"/>
        <v>0</v>
      </c>
      <c r="CG25" s="319">
        <f t="shared" si="1"/>
        <v>0</v>
      </c>
      <c r="CH25" s="319">
        <f t="shared" si="1"/>
        <v>0</v>
      </c>
      <c r="CI25" s="319">
        <f t="shared" si="1"/>
        <v>0</v>
      </c>
      <c r="CJ25" s="319">
        <f t="shared" si="1"/>
        <v>0</v>
      </c>
      <c r="CK25" s="319">
        <f t="shared" si="1"/>
        <v>0</v>
      </c>
      <c r="CL25" s="319">
        <f t="shared" si="1"/>
        <v>0</v>
      </c>
      <c r="CM25" s="319">
        <f t="shared" si="1"/>
        <v>0</v>
      </c>
      <c r="CN25" s="319">
        <f t="shared" si="1"/>
        <v>0</v>
      </c>
      <c r="CO25" s="319">
        <f t="shared" si="1"/>
        <v>0</v>
      </c>
      <c r="CP25" s="319">
        <f t="shared" si="1"/>
        <v>0</v>
      </c>
      <c r="CQ25" s="319">
        <f t="shared" si="1"/>
        <v>0</v>
      </c>
      <c r="CR25" s="319">
        <f t="shared" si="1"/>
        <v>0</v>
      </c>
      <c r="CS25" s="319">
        <f t="shared" si="1"/>
        <v>0</v>
      </c>
      <c r="CT25" s="319">
        <f t="shared" si="1"/>
        <v>0</v>
      </c>
      <c r="CU25" s="319">
        <f t="shared" si="1"/>
        <v>0</v>
      </c>
      <c r="CV25" s="319">
        <f t="shared" si="1"/>
        <v>0</v>
      </c>
      <c r="CW25" s="319">
        <f t="shared" si="1"/>
        <v>0</v>
      </c>
      <c r="CX25" s="319">
        <f t="shared" si="1"/>
        <v>0</v>
      </c>
      <c r="CY25" s="319">
        <f t="shared" si="1"/>
        <v>0</v>
      </c>
      <c r="CZ25" s="319">
        <f t="shared" si="1"/>
        <v>0</v>
      </c>
      <c r="DA25" s="319">
        <f t="shared" si="1"/>
        <v>0</v>
      </c>
      <c r="DB25" s="319">
        <f t="shared" si="1"/>
        <v>0</v>
      </c>
      <c r="DC25" s="319">
        <f t="shared" si="1"/>
        <v>0</v>
      </c>
      <c r="DD25" s="319">
        <f t="shared" si="1"/>
        <v>0</v>
      </c>
      <c r="DE25" s="319">
        <f t="shared" si="1"/>
        <v>0</v>
      </c>
      <c r="DF25" s="319">
        <f t="shared" si="1"/>
        <v>0</v>
      </c>
      <c r="DG25" s="319">
        <f t="shared" si="1"/>
        <v>0</v>
      </c>
      <c r="DH25" s="319">
        <f t="shared" si="1"/>
        <v>0</v>
      </c>
      <c r="DI25" s="319">
        <f t="shared" si="1"/>
        <v>0</v>
      </c>
      <c r="DJ25" s="319">
        <f t="shared" si="1"/>
        <v>0</v>
      </c>
      <c r="DK25" s="319">
        <f t="shared" si="1"/>
        <v>0</v>
      </c>
      <c r="DL25" s="319">
        <f t="shared" si="1"/>
        <v>0</v>
      </c>
      <c r="DM25" s="319">
        <f t="shared" si="1"/>
        <v>0</v>
      </c>
      <c r="DN25" s="319">
        <f t="shared" si="1"/>
        <v>0</v>
      </c>
      <c r="DO25" s="319">
        <f t="shared" si="1"/>
        <v>0</v>
      </c>
      <c r="DP25" s="319">
        <f t="shared" si="1"/>
        <v>0</v>
      </c>
      <c r="DQ25" s="319">
        <f t="shared" si="1"/>
        <v>0</v>
      </c>
      <c r="DR25" s="319">
        <f t="shared" si="1"/>
        <v>0</v>
      </c>
      <c r="DS25" s="319">
        <f t="shared" si="1"/>
        <v>0</v>
      </c>
      <c r="DT25" s="319">
        <f t="shared" si="1"/>
        <v>0</v>
      </c>
      <c r="DU25" s="319">
        <f t="shared" si="1"/>
        <v>0</v>
      </c>
      <c r="DV25" s="319">
        <f t="shared" si="1"/>
        <v>0</v>
      </c>
      <c r="DW25" s="319">
        <f t="shared" si="1"/>
        <v>0</v>
      </c>
      <c r="DX25" s="319">
        <f t="shared" si="1"/>
        <v>0</v>
      </c>
      <c r="DY25" s="319">
        <f t="shared" si="1"/>
        <v>0</v>
      </c>
      <c r="DZ25" s="319">
        <f t="shared" si="1"/>
        <v>0</v>
      </c>
      <c r="EA25" s="319">
        <f t="shared" si="1"/>
        <v>0</v>
      </c>
      <c r="EB25" s="319">
        <f t="shared" si="1"/>
        <v>0</v>
      </c>
      <c r="EC25" s="319">
        <f t="shared" ref="EC25:GN25" si="2">IF(ISBLANK(EC22),0,SUM(EC23,-EC24)/VLOOKUP(EC22,$B$36:$E$41,4,0))</f>
        <v>0</v>
      </c>
      <c r="ED25" s="319">
        <f t="shared" si="2"/>
        <v>0</v>
      </c>
      <c r="EE25" s="319">
        <f t="shared" si="2"/>
        <v>0</v>
      </c>
      <c r="EF25" s="319">
        <f t="shared" si="2"/>
        <v>0</v>
      </c>
      <c r="EG25" s="319">
        <f t="shared" si="2"/>
        <v>0</v>
      </c>
      <c r="EH25" s="319">
        <f t="shared" si="2"/>
        <v>0</v>
      </c>
      <c r="EI25" s="319">
        <f t="shared" si="2"/>
        <v>0</v>
      </c>
      <c r="EJ25" s="319">
        <f t="shared" si="2"/>
        <v>0</v>
      </c>
      <c r="EK25" s="319">
        <f t="shared" si="2"/>
        <v>0</v>
      </c>
      <c r="EL25" s="319">
        <f t="shared" si="2"/>
        <v>0</v>
      </c>
      <c r="EM25" s="319">
        <f t="shared" si="2"/>
        <v>0</v>
      </c>
      <c r="EN25" s="319">
        <f t="shared" si="2"/>
        <v>0</v>
      </c>
      <c r="EO25" s="319">
        <f t="shared" si="2"/>
        <v>0</v>
      </c>
      <c r="EP25" s="319">
        <f t="shared" si="2"/>
        <v>0</v>
      </c>
      <c r="EQ25" s="319">
        <f t="shared" si="2"/>
        <v>0</v>
      </c>
      <c r="ER25" s="319">
        <f t="shared" si="2"/>
        <v>0</v>
      </c>
      <c r="ES25" s="319">
        <f t="shared" si="2"/>
        <v>0</v>
      </c>
      <c r="ET25" s="319">
        <f t="shared" si="2"/>
        <v>0</v>
      </c>
      <c r="EU25" s="319">
        <f t="shared" si="2"/>
        <v>0</v>
      </c>
      <c r="EV25" s="319">
        <f t="shared" si="2"/>
        <v>0</v>
      </c>
      <c r="EW25" s="319">
        <f t="shared" si="2"/>
        <v>0</v>
      </c>
      <c r="EX25" s="319">
        <f t="shared" si="2"/>
        <v>0</v>
      </c>
      <c r="EY25" s="319">
        <f t="shared" si="2"/>
        <v>0</v>
      </c>
      <c r="EZ25" s="319">
        <f t="shared" si="2"/>
        <v>0</v>
      </c>
      <c r="FA25" s="319">
        <f t="shared" si="2"/>
        <v>0</v>
      </c>
      <c r="FB25" s="319">
        <f t="shared" si="2"/>
        <v>0</v>
      </c>
      <c r="FC25" s="319">
        <f t="shared" si="2"/>
        <v>0</v>
      </c>
      <c r="FD25" s="319">
        <f t="shared" si="2"/>
        <v>0</v>
      </c>
      <c r="FE25" s="319">
        <f t="shared" si="2"/>
        <v>0</v>
      </c>
      <c r="FF25" s="319">
        <f t="shared" si="2"/>
        <v>0</v>
      </c>
      <c r="FG25" s="319">
        <f t="shared" si="2"/>
        <v>0</v>
      </c>
      <c r="FH25" s="319">
        <f t="shared" si="2"/>
        <v>0</v>
      </c>
      <c r="FI25" s="319">
        <f t="shared" si="2"/>
        <v>0</v>
      </c>
      <c r="FJ25" s="319">
        <f t="shared" si="2"/>
        <v>0</v>
      </c>
      <c r="FK25" s="319">
        <f t="shared" si="2"/>
        <v>0</v>
      </c>
      <c r="FL25" s="319">
        <f t="shared" si="2"/>
        <v>0</v>
      </c>
      <c r="FM25" s="319">
        <f t="shared" si="2"/>
        <v>0</v>
      </c>
      <c r="FN25" s="319">
        <f t="shared" si="2"/>
        <v>0</v>
      </c>
      <c r="FO25" s="319">
        <f t="shared" si="2"/>
        <v>0</v>
      </c>
      <c r="FP25" s="319">
        <f t="shared" si="2"/>
        <v>0</v>
      </c>
      <c r="FQ25" s="319">
        <f t="shared" si="2"/>
        <v>0</v>
      </c>
      <c r="FR25" s="319">
        <f t="shared" si="2"/>
        <v>0</v>
      </c>
      <c r="FS25" s="319">
        <f t="shared" si="2"/>
        <v>0</v>
      </c>
      <c r="FT25" s="319">
        <f t="shared" si="2"/>
        <v>0</v>
      </c>
      <c r="FU25" s="319">
        <f t="shared" si="2"/>
        <v>0</v>
      </c>
      <c r="FV25" s="319">
        <f t="shared" si="2"/>
        <v>0</v>
      </c>
      <c r="FW25" s="319">
        <f t="shared" si="2"/>
        <v>0</v>
      </c>
      <c r="FX25" s="319">
        <f t="shared" si="2"/>
        <v>0</v>
      </c>
      <c r="FY25" s="319">
        <f t="shared" si="2"/>
        <v>0</v>
      </c>
      <c r="FZ25" s="319">
        <f t="shared" si="2"/>
        <v>0</v>
      </c>
      <c r="GA25" s="319">
        <f t="shared" si="2"/>
        <v>0</v>
      </c>
      <c r="GB25" s="319">
        <f t="shared" si="2"/>
        <v>0</v>
      </c>
      <c r="GC25" s="319">
        <f t="shared" si="2"/>
        <v>0</v>
      </c>
      <c r="GD25" s="319">
        <f t="shared" si="2"/>
        <v>0</v>
      </c>
      <c r="GE25" s="319">
        <f t="shared" si="2"/>
        <v>0</v>
      </c>
      <c r="GF25" s="319">
        <f t="shared" si="2"/>
        <v>0</v>
      </c>
      <c r="GG25" s="319">
        <f t="shared" si="2"/>
        <v>0</v>
      </c>
      <c r="GH25" s="319">
        <f t="shared" si="2"/>
        <v>0</v>
      </c>
      <c r="GI25" s="319">
        <f t="shared" si="2"/>
        <v>0</v>
      </c>
      <c r="GJ25" s="319">
        <f t="shared" si="2"/>
        <v>0</v>
      </c>
      <c r="GK25" s="319">
        <f t="shared" si="2"/>
        <v>0</v>
      </c>
      <c r="GL25" s="319">
        <f t="shared" si="2"/>
        <v>0</v>
      </c>
      <c r="GM25" s="319">
        <f t="shared" si="2"/>
        <v>0</v>
      </c>
      <c r="GN25" s="319">
        <f t="shared" si="2"/>
        <v>0</v>
      </c>
      <c r="GO25" s="319">
        <f t="shared" ref="GO25:IZ25" si="3">IF(ISBLANK(GO22),0,SUM(GO23,-GO24)/VLOOKUP(GO22,$B$36:$E$41,4,0))</f>
        <v>0</v>
      </c>
      <c r="GP25" s="319">
        <f t="shared" si="3"/>
        <v>0</v>
      </c>
      <c r="GQ25" s="319">
        <f t="shared" si="3"/>
        <v>0</v>
      </c>
      <c r="GR25" s="319">
        <f t="shared" si="3"/>
        <v>0</v>
      </c>
      <c r="GS25" s="319">
        <f t="shared" si="3"/>
        <v>0</v>
      </c>
      <c r="GT25" s="319">
        <f t="shared" si="3"/>
        <v>0</v>
      </c>
      <c r="GU25" s="319">
        <f t="shared" si="3"/>
        <v>0</v>
      </c>
      <c r="GV25" s="319">
        <f t="shared" si="3"/>
        <v>0</v>
      </c>
      <c r="GW25" s="319">
        <f t="shared" si="3"/>
        <v>0</v>
      </c>
      <c r="GX25" s="319">
        <f t="shared" si="3"/>
        <v>0</v>
      </c>
      <c r="GY25" s="319">
        <f t="shared" si="3"/>
        <v>0</v>
      </c>
      <c r="GZ25" s="319">
        <f t="shared" si="3"/>
        <v>0</v>
      </c>
      <c r="HA25" s="319">
        <f t="shared" si="3"/>
        <v>0</v>
      </c>
      <c r="HB25" s="319">
        <f t="shared" si="3"/>
        <v>0</v>
      </c>
      <c r="HC25" s="319">
        <f t="shared" si="3"/>
        <v>0</v>
      </c>
      <c r="HD25" s="319">
        <f t="shared" si="3"/>
        <v>0</v>
      </c>
      <c r="HE25" s="319">
        <f t="shared" si="3"/>
        <v>0</v>
      </c>
      <c r="HF25" s="319">
        <f t="shared" si="3"/>
        <v>0</v>
      </c>
      <c r="HG25" s="319">
        <f t="shared" si="3"/>
        <v>0</v>
      </c>
      <c r="HH25" s="319">
        <f t="shared" si="3"/>
        <v>0</v>
      </c>
      <c r="HI25" s="319">
        <f t="shared" si="3"/>
        <v>0</v>
      </c>
      <c r="HJ25" s="319">
        <f t="shared" si="3"/>
        <v>0</v>
      </c>
      <c r="HK25" s="319">
        <f t="shared" si="3"/>
        <v>0</v>
      </c>
      <c r="HL25" s="319">
        <f t="shared" si="3"/>
        <v>0</v>
      </c>
      <c r="HM25" s="319">
        <f t="shared" si="3"/>
        <v>0</v>
      </c>
      <c r="HN25" s="319">
        <f t="shared" si="3"/>
        <v>0</v>
      </c>
      <c r="HO25" s="319">
        <f t="shared" si="3"/>
        <v>0</v>
      </c>
      <c r="HP25" s="319">
        <f t="shared" si="3"/>
        <v>0</v>
      </c>
      <c r="HQ25" s="319">
        <f t="shared" si="3"/>
        <v>0</v>
      </c>
      <c r="HR25" s="319">
        <f t="shared" si="3"/>
        <v>0</v>
      </c>
      <c r="HS25" s="319">
        <f t="shared" si="3"/>
        <v>0</v>
      </c>
      <c r="HT25" s="319">
        <f t="shared" si="3"/>
        <v>0</v>
      </c>
      <c r="HU25" s="319">
        <f t="shared" si="3"/>
        <v>0</v>
      </c>
      <c r="HV25" s="319">
        <f t="shared" si="3"/>
        <v>0</v>
      </c>
      <c r="HW25" s="319">
        <f t="shared" si="3"/>
        <v>0</v>
      </c>
      <c r="HX25" s="319">
        <f t="shared" si="3"/>
        <v>0</v>
      </c>
      <c r="HY25" s="319">
        <f t="shared" si="3"/>
        <v>0</v>
      </c>
      <c r="HZ25" s="319">
        <f t="shared" si="3"/>
        <v>0</v>
      </c>
      <c r="IA25" s="319">
        <f t="shared" si="3"/>
        <v>0</v>
      </c>
      <c r="IB25" s="319">
        <f t="shared" si="3"/>
        <v>0</v>
      </c>
      <c r="IC25" s="319">
        <f t="shared" si="3"/>
        <v>0</v>
      </c>
      <c r="ID25" s="319">
        <f t="shared" si="3"/>
        <v>0</v>
      </c>
      <c r="IE25" s="319">
        <f t="shared" si="3"/>
        <v>0</v>
      </c>
      <c r="IF25" s="319">
        <f t="shared" si="3"/>
        <v>0</v>
      </c>
      <c r="IG25" s="319">
        <f t="shared" si="3"/>
        <v>0</v>
      </c>
      <c r="IH25" s="319">
        <f t="shared" si="3"/>
        <v>0</v>
      </c>
      <c r="II25" s="319">
        <f t="shared" si="3"/>
        <v>0</v>
      </c>
      <c r="IJ25" s="319">
        <f t="shared" si="3"/>
        <v>0</v>
      </c>
      <c r="IK25" s="319">
        <f t="shared" si="3"/>
        <v>0</v>
      </c>
      <c r="IL25" s="319">
        <f t="shared" si="3"/>
        <v>0</v>
      </c>
      <c r="IM25" s="319">
        <f t="shared" si="3"/>
        <v>0</v>
      </c>
      <c r="IN25" s="319">
        <f t="shared" si="3"/>
        <v>0</v>
      </c>
      <c r="IO25" s="319">
        <f t="shared" si="3"/>
        <v>0</v>
      </c>
      <c r="IP25" s="319">
        <f t="shared" si="3"/>
        <v>0</v>
      </c>
      <c r="IQ25" s="319">
        <f t="shared" si="3"/>
        <v>0</v>
      </c>
      <c r="IR25" s="319">
        <f t="shared" si="3"/>
        <v>0</v>
      </c>
      <c r="IS25" s="319">
        <f t="shared" si="3"/>
        <v>0</v>
      </c>
      <c r="IT25" s="319">
        <f t="shared" si="3"/>
        <v>0</v>
      </c>
      <c r="IU25" s="319">
        <f t="shared" si="3"/>
        <v>0</v>
      </c>
      <c r="IV25" s="319">
        <f t="shared" si="3"/>
        <v>0</v>
      </c>
      <c r="IW25" s="319">
        <f t="shared" si="3"/>
        <v>0</v>
      </c>
      <c r="IX25" s="319">
        <f t="shared" si="3"/>
        <v>0</v>
      </c>
      <c r="IY25" s="319">
        <f t="shared" si="3"/>
        <v>0</v>
      </c>
      <c r="IZ25" s="319">
        <f t="shared" si="3"/>
        <v>0</v>
      </c>
    </row>
    <row r="26" spans="1:260" s="102" customFormat="1" ht="12.95" customHeight="1" x14ac:dyDescent="0.25">
      <c r="A26" s="179">
        <v>331</v>
      </c>
      <c r="B26" s="217"/>
      <c r="C26" s="298" t="s">
        <v>372</v>
      </c>
      <c r="D26" s="320">
        <f>IF(ISBLANK(D22),0,(D19*VLOOKUP(D22,$B$36:$D$41,3,0)))</f>
        <v>15500</v>
      </c>
      <c r="E26" s="320">
        <f t="shared" ref="E26:BP26" si="4">IF(ISBLANK(E22),0,(E19*VLOOKUP(E22,$B$36:$D$41,3,0)))</f>
        <v>6500</v>
      </c>
      <c r="F26" s="320">
        <f t="shared" si="4"/>
        <v>2200</v>
      </c>
      <c r="G26" s="320">
        <f t="shared" si="4"/>
        <v>9520</v>
      </c>
      <c r="H26" s="320">
        <f t="shared" si="4"/>
        <v>7560</v>
      </c>
      <c r="I26" s="320">
        <f t="shared" si="4"/>
        <v>7280</v>
      </c>
      <c r="J26" s="320">
        <f t="shared" si="4"/>
        <v>8120</v>
      </c>
      <c r="K26" s="320">
        <f t="shared" si="4"/>
        <v>6300</v>
      </c>
      <c r="L26" s="320">
        <f t="shared" si="4"/>
        <v>5740</v>
      </c>
      <c r="M26" s="320">
        <f t="shared" si="4"/>
        <v>5320</v>
      </c>
      <c r="N26" s="320">
        <f t="shared" si="4"/>
        <v>5320</v>
      </c>
      <c r="O26" s="320">
        <f t="shared" si="4"/>
        <v>2660</v>
      </c>
      <c r="P26" s="320">
        <f t="shared" si="4"/>
        <v>3220</v>
      </c>
      <c r="Q26" s="320">
        <f t="shared" si="4"/>
        <v>3780</v>
      </c>
      <c r="R26" s="320">
        <f t="shared" si="4"/>
        <v>1540</v>
      </c>
      <c r="S26" s="320">
        <f t="shared" si="4"/>
        <v>2520</v>
      </c>
      <c r="T26" s="320">
        <f t="shared" si="4"/>
        <v>16800</v>
      </c>
      <c r="U26" s="320">
        <f t="shared" si="4"/>
        <v>2000</v>
      </c>
      <c r="V26" s="320">
        <f t="shared" si="4"/>
        <v>9100</v>
      </c>
      <c r="W26" s="320">
        <f t="shared" si="4"/>
        <v>8680</v>
      </c>
      <c r="X26" s="320">
        <f t="shared" si="4"/>
        <v>840</v>
      </c>
      <c r="Y26" s="320">
        <f t="shared" si="4"/>
        <v>6000</v>
      </c>
      <c r="Z26" s="320">
        <f t="shared" si="4"/>
        <v>2000</v>
      </c>
      <c r="AA26" s="320">
        <f t="shared" si="4"/>
        <v>2800</v>
      </c>
      <c r="AB26" s="320">
        <f t="shared" si="4"/>
        <v>3000</v>
      </c>
      <c r="AC26" s="320">
        <f t="shared" si="4"/>
        <v>3360</v>
      </c>
      <c r="AD26" s="320">
        <f t="shared" si="4"/>
        <v>3500</v>
      </c>
      <c r="AE26" s="320">
        <f t="shared" si="4"/>
        <v>1680</v>
      </c>
      <c r="AF26" s="320">
        <f t="shared" si="4"/>
        <v>0</v>
      </c>
      <c r="AG26" s="320">
        <f t="shared" si="4"/>
        <v>0</v>
      </c>
      <c r="AH26" s="320">
        <f t="shared" si="4"/>
        <v>0</v>
      </c>
      <c r="AI26" s="320">
        <f t="shared" si="4"/>
        <v>0</v>
      </c>
      <c r="AJ26" s="320">
        <f t="shared" si="4"/>
        <v>0</v>
      </c>
      <c r="AK26" s="320">
        <f t="shared" si="4"/>
        <v>0</v>
      </c>
      <c r="AL26" s="320">
        <f t="shared" si="4"/>
        <v>0</v>
      </c>
      <c r="AM26" s="320">
        <f t="shared" si="4"/>
        <v>0</v>
      </c>
      <c r="AN26" s="320">
        <f t="shared" si="4"/>
        <v>0</v>
      </c>
      <c r="AO26" s="320">
        <f t="shared" si="4"/>
        <v>0</v>
      </c>
      <c r="AP26" s="320">
        <f t="shared" si="4"/>
        <v>0</v>
      </c>
      <c r="AQ26" s="320">
        <f t="shared" si="4"/>
        <v>0</v>
      </c>
      <c r="AR26" s="320">
        <f t="shared" si="4"/>
        <v>0</v>
      </c>
      <c r="AS26" s="320">
        <f t="shared" si="4"/>
        <v>0</v>
      </c>
      <c r="AT26" s="320">
        <f t="shared" si="4"/>
        <v>0</v>
      </c>
      <c r="AU26" s="320">
        <f t="shared" si="4"/>
        <v>0</v>
      </c>
      <c r="AV26" s="320">
        <f t="shared" si="4"/>
        <v>0</v>
      </c>
      <c r="AW26" s="320">
        <f t="shared" si="4"/>
        <v>0</v>
      </c>
      <c r="AX26" s="320">
        <f t="shared" si="4"/>
        <v>0</v>
      </c>
      <c r="AY26" s="320">
        <f t="shared" si="4"/>
        <v>0</v>
      </c>
      <c r="AZ26" s="320">
        <f t="shared" si="4"/>
        <v>0</v>
      </c>
      <c r="BA26" s="320">
        <f t="shared" si="4"/>
        <v>0</v>
      </c>
      <c r="BB26" s="320">
        <f t="shared" si="4"/>
        <v>0</v>
      </c>
      <c r="BC26" s="320">
        <f t="shared" si="4"/>
        <v>0</v>
      </c>
      <c r="BD26" s="320">
        <f t="shared" si="4"/>
        <v>0</v>
      </c>
      <c r="BE26" s="320">
        <f t="shared" si="4"/>
        <v>0</v>
      </c>
      <c r="BF26" s="320">
        <f t="shared" si="4"/>
        <v>0</v>
      </c>
      <c r="BG26" s="320">
        <f t="shared" si="4"/>
        <v>0</v>
      </c>
      <c r="BH26" s="320">
        <f t="shared" si="4"/>
        <v>0</v>
      </c>
      <c r="BI26" s="320">
        <f t="shared" si="4"/>
        <v>0</v>
      </c>
      <c r="BJ26" s="320">
        <f t="shared" si="4"/>
        <v>0</v>
      </c>
      <c r="BK26" s="320">
        <f t="shared" si="4"/>
        <v>0</v>
      </c>
      <c r="BL26" s="320">
        <f t="shared" si="4"/>
        <v>0</v>
      </c>
      <c r="BM26" s="320">
        <f t="shared" si="4"/>
        <v>0</v>
      </c>
      <c r="BN26" s="320">
        <f t="shared" si="4"/>
        <v>0</v>
      </c>
      <c r="BO26" s="320">
        <f t="shared" si="4"/>
        <v>0</v>
      </c>
      <c r="BP26" s="320">
        <f t="shared" si="4"/>
        <v>0</v>
      </c>
      <c r="BQ26" s="320">
        <f t="shared" ref="BQ26:EB26" si="5">IF(ISBLANK(BQ22),0,(BQ19*VLOOKUP(BQ22,$B$36:$D$41,3,0)))</f>
        <v>0</v>
      </c>
      <c r="BR26" s="320">
        <f t="shared" si="5"/>
        <v>0</v>
      </c>
      <c r="BS26" s="320">
        <f t="shared" si="5"/>
        <v>0</v>
      </c>
      <c r="BT26" s="320">
        <f t="shared" si="5"/>
        <v>0</v>
      </c>
      <c r="BU26" s="320">
        <f t="shared" si="5"/>
        <v>0</v>
      </c>
      <c r="BV26" s="320">
        <f t="shared" si="5"/>
        <v>0</v>
      </c>
      <c r="BW26" s="320">
        <f t="shared" si="5"/>
        <v>0</v>
      </c>
      <c r="BX26" s="320">
        <f t="shared" si="5"/>
        <v>0</v>
      </c>
      <c r="BY26" s="320">
        <f t="shared" si="5"/>
        <v>0</v>
      </c>
      <c r="BZ26" s="320">
        <f t="shared" si="5"/>
        <v>0</v>
      </c>
      <c r="CA26" s="320">
        <f t="shared" si="5"/>
        <v>0</v>
      </c>
      <c r="CB26" s="320">
        <f t="shared" si="5"/>
        <v>0</v>
      </c>
      <c r="CC26" s="320">
        <f t="shared" si="5"/>
        <v>0</v>
      </c>
      <c r="CD26" s="320">
        <f t="shared" si="5"/>
        <v>0</v>
      </c>
      <c r="CE26" s="320">
        <f t="shared" si="5"/>
        <v>0</v>
      </c>
      <c r="CF26" s="320">
        <f t="shared" si="5"/>
        <v>0</v>
      </c>
      <c r="CG26" s="320">
        <f t="shared" si="5"/>
        <v>0</v>
      </c>
      <c r="CH26" s="320">
        <f t="shared" si="5"/>
        <v>0</v>
      </c>
      <c r="CI26" s="320">
        <f t="shared" si="5"/>
        <v>0</v>
      </c>
      <c r="CJ26" s="320">
        <f t="shared" si="5"/>
        <v>0</v>
      </c>
      <c r="CK26" s="320">
        <f t="shared" si="5"/>
        <v>0</v>
      </c>
      <c r="CL26" s="320">
        <f t="shared" si="5"/>
        <v>0</v>
      </c>
      <c r="CM26" s="320">
        <f t="shared" si="5"/>
        <v>0</v>
      </c>
      <c r="CN26" s="320">
        <f t="shared" si="5"/>
        <v>0</v>
      </c>
      <c r="CO26" s="320">
        <f t="shared" si="5"/>
        <v>0</v>
      </c>
      <c r="CP26" s="320">
        <f t="shared" si="5"/>
        <v>0</v>
      </c>
      <c r="CQ26" s="320">
        <f t="shared" si="5"/>
        <v>0</v>
      </c>
      <c r="CR26" s="320">
        <f t="shared" si="5"/>
        <v>0</v>
      </c>
      <c r="CS26" s="320">
        <f t="shared" si="5"/>
        <v>0</v>
      </c>
      <c r="CT26" s="320">
        <f t="shared" si="5"/>
        <v>0</v>
      </c>
      <c r="CU26" s="320">
        <f t="shared" si="5"/>
        <v>0</v>
      </c>
      <c r="CV26" s="320">
        <f t="shared" si="5"/>
        <v>0</v>
      </c>
      <c r="CW26" s="320">
        <f t="shared" si="5"/>
        <v>0</v>
      </c>
      <c r="CX26" s="320">
        <f t="shared" si="5"/>
        <v>0</v>
      </c>
      <c r="CY26" s="320">
        <f t="shared" si="5"/>
        <v>0</v>
      </c>
      <c r="CZ26" s="320">
        <f t="shared" si="5"/>
        <v>0</v>
      </c>
      <c r="DA26" s="320">
        <f t="shared" si="5"/>
        <v>0</v>
      </c>
      <c r="DB26" s="320">
        <f t="shared" si="5"/>
        <v>0</v>
      </c>
      <c r="DC26" s="320">
        <f t="shared" si="5"/>
        <v>0</v>
      </c>
      <c r="DD26" s="320">
        <f t="shared" si="5"/>
        <v>0</v>
      </c>
      <c r="DE26" s="320">
        <f t="shared" si="5"/>
        <v>0</v>
      </c>
      <c r="DF26" s="320">
        <f t="shared" si="5"/>
        <v>0</v>
      </c>
      <c r="DG26" s="320">
        <f t="shared" si="5"/>
        <v>0</v>
      </c>
      <c r="DH26" s="320">
        <f t="shared" si="5"/>
        <v>0</v>
      </c>
      <c r="DI26" s="320">
        <f t="shared" si="5"/>
        <v>0</v>
      </c>
      <c r="DJ26" s="320">
        <f t="shared" si="5"/>
        <v>0</v>
      </c>
      <c r="DK26" s="320">
        <f t="shared" si="5"/>
        <v>0</v>
      </c>
      <c r="DL26" s="320">
        <f t="shared" si="5"/>
        <v>0</v>
      </c>
      <c r="DM26" s="320">
        <f t="shared" si="5"/>
        <v>0</v>
      </c>
      <c r="DN26" s="320">
        <f t="shared" si="5"/>
        <v>0</v>
      </c>
      <c r="DO26" s="320">
        <f t="shared" si="5"/>
        <v>0</v>
      </c>
      <c r="DP26" s="320">
        <f t="shared" si="5"/>
        <v>0</v>
      </c>
      <c r="DQ26" s="320">
        <f t="shared" si="5"/>
        <v>0</v>
      </c>
      <c r="DR26" s="320">
        <f t="shared" si="5"/>
        <v>0</v>
      </c>
      <c r="DS26" s="320">
        <f t="shared" si="5"/>
        <v>0</v>
      </c>
      <c r="DT26" s="320">
        <f t="shared" si="5"/>
        <v>0</v>
      </c>
      <c r="DU26" s="320">
        <f t="shared" si="5"/>
        <v>0</v>
      </c>
      <c r="DV26" s="320">
        <f t="shared" si="5"/>
        <v>0</v>
      </c>
      <c r="DW26" s="320">
        <f t="shared" si="5"/>
        <v>0</v>
      </c>
      <c r="DX26" s="320">
        <f t="shared" si="5"/>
        <v>0</v>
      </c>
      <c r="DY26" s="320">
        <f t="shared" si="5"/>
        <v>0</v>
      </c>
      <c r="DZ26" s="320">
        <f t="shared" si="5"/>
        <v>0</v>
      </c>
      <c r="EA26" s="320">
        <f t="shared" si="5"/>
        <v>0</v>
      </c>
      <c r="EB26" s="320">
        <f t="shared" si="5"/>
        <v>0</v>
      </c>
      <c r="EC26" s="320">
        <f t="shared" ref="EC26:GA26" si="6">IF(ISBLANK(EC22),0,(EC19*VLOOKUP(EC22,$B$36:$D$41,3,0)))</f>
        <v>0</v>
      </c>
      <c r="ED26" s="320">
        <f t="shared" si="6"/>
        <v>0</v>
      </c>
      <c r="EE26" s="320">
        <f t="shared" si="6"/>
        <v>0</v>
      </c>
      <c r="EF26" s="320">
        <f t="shared" si="6"/>
        <v>0</v>
      </c>
      <c r="EG26" s="320">
        <f t="shared" si="6"/>
        <v>0</v>
      </c>
      <c r="EH26" s="320">
        <f t="shared" si="6"/>
        <v>0</v>
      </c>
      <c r="EI26" s="320">
        <f t="shared" si="6"/>
        <v>0</v>
      </c>
      <c r="EJ26" s="320">
        <f t="shared" si="6"/>
        <v>0</v>
      </c>
      <c r="EK26" s="320">
        <f t="shared" si="6"/>
        <v>0</v>
      </c>
      <c r="EL26" s="320">
        <f t="shared" si="6"/>
        <v>0</v>
      </c>
      <c r="EM26" s="320">
        <f t="shared" si="6"/>
        <v>0</v>
      </c>
      <c r="EN26" s="320">
        <f t="shared" si="6"/>
        <v>0</v>
      </c>
      <c r="EO26" s="320">
        <f t="shared" si="6"/>
        <v>0</v>
      </c>
      <c r="EP26" s="320">
        <f t="shared" si="6"/>
        <v>0</v>
      </c>
      <c r="EQ26" s="320">
        <f t="shared" si="6"/>
        <v>0</v>
      </c>
      <c r="ER26" s="320">
        <f t="shared" si="6"/>
        <v>0</v>
      </c>
      <c r="ES26" s="320">
        <f t="shared" si="6"/>
        <v>0</v>
      </c>
      <c r="ET26" s="320">
        <f t="shared" si="6"/>
        <v>0</v>
      </c>
      <c r="EU26" s="320">
        <f t="shared" si="6"/>
        <v>0</v>
      </c>
      <c r="EV26" s="320">
        <f t="shared" si="6"/>
        <v>0</v>
      </c>
      <c r="EW26" s="320">
        <f t="shared" si="6"/>
        <v>0</v>
      </c>
      <c r="EX26" s="320">
        <f t="shared" si="6"/>
        <v>0</v>
      </c>
      <c r="EY26" s="320">
        <f t="shared" si="6"/>
        <v>0</v>
      </c>
      <c r="EZ26" s="320">
        <f t="shared" si="6"/>
        <v>0</v>
      </c>
      <c r="FA26" s="320">
        <f t="shared" si="6"/>
        <v>0</v>
      </c>
      <c r="FB26" s="320">
        <f t="shared" si="6"/>
        <v>0</v>
      </c>
      <c r="FC26" s="320">
        <f t="shared" si="6"/>
        <v>0</v>
      </c>
      <c r="FD26" s="320">
        <f t="shared" si="6"/>
        <v>0</v>
      </c>
      <c r="FE26" s="320">
        <f t="shared" si="6"/>
        <v>0</v>
      </c>
      <c r="FF26" s="320">
        <f t="shared" si="6"/>
        <v>0</v>
      </c>
      <c r="FG26" s="320">
        <f t="shared" si="6"/>
        <v>0</v>
      </c>
      <c r="FH26" s="320">
        <f t="shared" si="6"/>
        <v>0</v>
      </c>
      <c r="FI26" s="320">
        <f t="shared" si="6"/>
        <v>0</v>
      </c>
      <c r="FJ26" s="320">
        <f t="shared" si="6"/>
        <v>0</v>
      </c>
      <c r="FK26" s="320">
        <f t="shared" si="6"/>
        <v>0</v>
      </c>
      <c r="FL26" s="320">
        <f t="shared" si="6"/>
        <v>0</v>
      </c>
      <c r="FM26" s="320">
        <f t="shared" si="6"/>
        <v>0</v>
      </c>
      <c r="FN26" s="320">
        <f t="shared" si="6"/>
        <v>0</v>
      </c>
      <c r="FO26" s="320">
        <f t="shared" si="6"/>
        <v>0</v>
      </c>
      <c r="FP26" s="320">
        <f t="shared" si="6"/>
        <v>0</v>
      </c>
      <c r="FQ26" s="320">
        <f t="shared" si="6"/>
        <v>0</v>
      </c>
      <c r="FR26" s="320">
        <f t="shared" si="6"/>
        <v>0</v>
      </c>
      <c r="FS26" s="320">
        <f t="shared" si="6"/>
        <v>0</v>
      </c>
      <c r="FT26" s="320">
        <f t="shared" si="6"/>
        <v>0</v>
      </c>
      <c r="FU26" s="320">
        <f t="shared" si="6"/>
        <v>0</v>
      </c>
      <c r="FV26" s="320">
        <f t="shared" si="6"/>
        <v>0</v>
      </c>
      <c r="FW26" s="320">
        <f t="shared" si="6"/>
        <v>0</v>
      </c>
      <c r="FX26" s="320">
        <f t="shared" si="6"/>
        <v>0</v>
      </c>
      <c r="FY26" s="320">
        <f t="shared" si="6"/>
        <v>0</v>
      </c>
      <c r="FZ26" s="320">
        <f t="shared" si="6"/>
        <v>0</v>
      </c>
      <c r="GA26" s="320">
        <f t="shared" si="6"/>
        <v>0</v>
      </c>
      <c r="GB26" s="320">
        <f t="shared" ref="GB26:IM26" si="7">IF(ISBLANK(GB22),0,(GB19*VLOOKUP(GB22,$B$36:$D$41,3,0)))</f>
        <v>0</v>
      </c>
      <c r="GC26" s="320">
        <f t="shared" si="7"/>
        <v>0</v>
      </c>
      <c r="GD26" s="320">
        <f t="shared" si="7"/>
        <v>0</v>
      </c>
      <c r="GE26" s="320">
        <f t="shared" si="7"/>
        <v>0</v>
      </c>
      <c r="GF26" s="320">
        <f t="shared" si="7"/>
        <v>0</v>
      </c>
      <c r="GG26" s="320">
        <f t="shared" si="7"/>
        <v>0</v>
      </c>
      <c r="GH26" s="320">
        <f t="shared" si="7"/>
        <v>0</v>
      </c>
      <c r="GI26" s="320">
        <f t="shared" si="7"/>
        <v>0</v>
      </c>
      <c r="GJ26" s="320">
        <f t="shared" si="7"/>
        <v>0</v>
      </c>
      <c r="GK26" s="320">
        <f t="shared" si="7"/>
        <v>0</v>
      </c>
      <c r="GL26" s="320">
        <f t="shared" si="7"/>
        <v>0</v>
      </c>
      <c r="GM26" s="320">
        <f t="shared" si="7"/>
        <v>0</v>
      </c>
      <c r="GN26" s="320">
        <f t="shared" si="7"/>
        <v>0</v>
      </c>
      <c r="GO26" s="320">
        <f t="shared" si="7"/>
        <v>0</v>
      </c>
      <c r="GP26" s="320">
        <f t="shared" si="7"/>
        <v>0</v>
      </c>
      <c r="GQ26" s="320">
        <f t="shared" si="7"/>
        <v>0</v>
      </c>
      <c r="GR26" s="320">
        <f t="shared" si="7"/>
        <v>0</v>
      </c>
      <c r="GS26" s="320">
        <f t="shared" si="7"/>
        <v>0</v>
      </c>
      <c r="GT26" s="320">
        <f t="shared" si="7"/>
        <v>0</v>
      </c>
      <c r="GU26" s="320">
        <f t="shared" si="7"/>
        <v>0</v>
      </c>
      <c r="GV26" s="320">
        <f t="shared" si="7"/>
        <v>0</v>
      </c>
      <c r="GW26" s="320">
        <f t="shared" si="7"/>
        <v>0</v>
      </c>
      <c r="GX26" s="320">
        <f t="shared" si="7"/>
        <v>0</v>
      </c>
      <c r="GY26" s="320">
        <f t="shared" si="7"/>
        <v>0</v>
      </c>
      <c r="GZ26" s="320">
        <f t="shared" si="7"/>
        <v>0</v>
      </c>
      <c r="HA26" s="320">
        <f t="shared" si="7"/>
        <v>0</v>
      </c>
      <c r="HB26" s="320">
        <f t="shared" si="7"/>
        <v>0</v>
      </c>
      <c r="HC26" s="320">
        <f t="shared" si="7"/>
        <v>0</v>
      </c>
      <c r="HD26" s="320">
        <f t="shared" si="7"/>
        <v>0</v>
      </c>
      <c r="HE26" s="320">
        <f t="shared" si="7"/>
        <v>0</v>
      </c>
      <c r="HF26" s="320">
        <f t="shared" si="7"/>
        <v>0</v>
      </c>
      <c r="HG26" s="320">
        <f t="shared" si="7"/>
        <v>0</v>
      </c>
      <c r="HH26" s="320">
        <f t="shared" si="7"/>
        <v>0</v>
      </c>
      <c r="HI26" s="320">
        <f t="shared" si="7"/>
        <v>0</v>
      </c>
      <c r="HJ26" s="320">
        <f t="shared" si="7"/>
        <v>0</v>
      </c>
      <c r="HK26" s="320">
        <f t="shared" si="7"/>
        <v>0</v>
      </c>
      <c r="HL26" s="320">
        <f t="shared" si="7"/>
        <v>0</v>
      </c>
      <c r="HM26" s="320">
        <f t="shared" si="7"/>
        <v>0</v>
      </c>
      <c r="HN26" s="320">
        <f t="shared" si="7"/>
        <v>0</v>
      </c>
      <c r="HO26" s="320">
        <f t="shared" si="7"/>
        <v>0</v>
      </c>
      <c r="HP26" s="320">
        <f t="shared" si="7"/>
        <v>0</v>
      </c>
      <c r="HQ26" s="320">
        <f t="shared" si="7"/>
        <v>0</v>
      </c>
      <c r="HR26" s="320">
        <f t="shared" si="7"/>
        <v>0</v>
      </c>
      <c r="HS26" s="320">
        <f t="shared" si="7"/>
        <v>0</v>
      </c>
      <c r="HT26" s="320">
        <f t="shared" si="7"/>
        <v>0</v>
      </c>
      <c r="HU26" s="320">
        <f t="shared" si="7"/>
        <v>0</v>
      </c>
      <c r="HV26" s="320">
        <f t="shared" si="7"/>
        <v>0</v>
      </c>
      <c r="HW26" s="320">
        <f t="shared" si="7"/>
        <v>0</v>
      </c>
      <c r="HX26" s="320">
        <f t="shared" si="7"/>
        <v>0</v>
      </c>
      <c r="HY26" s="320">
        <f t="shared" si="7"/>
        <v>0</v>
      </c>
      <c r="HZ26" s="320">
        <f t="shared" si="7"/>
        <v>0</v>
      </c>
      <c r="IA26" s="320">
        <f t="shared" si="7"/>
        <v>0</v>
      </c>
      <c r="IB26" s="320">
        <f t="shared" si="7"/>
        <v>0</v>
      </c>
      <c r="IC26" s="320">
        <f t="shared" si="7"/>
        <v>0</v>
      </c>
      <c r="ID26" s="320">
        <f t="shared" si="7"/>
        <v>0</v>
      </c>
      <c r="IE26" s="320">
        <f t="shared" si="7"/>
        <v>0</v>
      </c>
      <c r="IF26" s="320">
        <f t="shared" si="7"/>
        <v>0</v>
      </c>
      <c r="IG26" s="320">
        <f t="shared" si="7"/>
        <v>0</v>
      </c>
      <c r="IH26" s="320">
        <f t="shared" si="7"/>
        <v>0</v>
      </c>
      <c r="II26" s="320">
        <f t="shared" si="7"/>
        <v>0</v>
      </c>
      <c r="IJ26" s="320">
        <f t="shared" si="7"/>
        <v>0</v>
      </c>
      <c r="IK26" s="320">
        <f t="shared" si="7"/>
        <v>0</v>
      </c>
      <c r="IL26" s="320">
        <f t="shared" si="7"/>
        <v>0</v>
      </c>
      <c r="IM26" s="320">
        <f t="shared" si="7"/>
        <v>0</v>
      </c>
      <c r="IN26" s="320">
        <f t="shared" ref="IN26:IZ26" si="8">IF(ISBLANK(IN22),0,(IN19*VLOOKUP(IN22,$B$36:$D$41,3,0)))</f>
        <v>0</v>
      </c>
      <c r="IO26" s="320">
        <f t="shared" si="8"/>
        <v>0</v>
      </c>
      <c r="IP26" s="320">
        <f t="shared" si="8"/>
        <v>0</v>
      </c>
      <c r="IQ26" s="320">
        <f t="shared" si="8"/>
        <v>0</v>
      </c>
      <c r="IR26" s="320">
        <f t="shared" si="8"/>
        <v>0</v>
      </c>
      <c r="IS26" s="320">
        <f t="shared" si="8"/>
        <v>0</v>
      </c>
      <c r="IT26" s="320">
        <f t="shared" si="8"/>
        <v>0</v>
      </c>
      <c r="IU26" s="320">
        <f t="shared" si="8"/>
        <v>0</v>
      </c>
      <c r="IV26" s="320">
        <f t="shared" si="8"/>
        <v>0</v>
      </c>
      <c r="IW26" s="320">
        <f t="shared" si="8"/>
        <v>0</v>
      </c>
      <c r="IX26" s="320">
        <f t="shared" si="8"/>
        <v>0</v>
      </c>
      <c r="IY26" s="320">
        <f t="shared" si="8"/>
        <v>0</v>
      </c>
      <c r="IZ26" s="320">
        <f t="shared" si="8"/>
        <v>0</v>
      </c>
    </row>
    <row r="27" spans="1:260" s="102" customFormat="1" ht="12.95" customHeight="1" x14ac:dyDescent="0.25">
      <c r="A27" s="179">
        <v>332</v>
      </c>
      <c r="B27" s="217"/>
      <c r="C27" s="298" t="s">
        <v>373</v>
      </c>
      <c r="D27" s="320">
        <f>IF(ISBLANK(D22),0,(D18*1000*VLOOKUP(D22,$B$36:$D$41,2,0)))</f>
        <v>34300</v>
      </c>
      <c r="E27" s="320">
        <f t="shared" ref="E27:BP27" si="9">IF(ISBLANK(E22),0,(E18*1000*VLOOKUP(E22,$B$36:$D$41,2,0)))</f>
        <v>12600</v>
      </c>
      <c r="F27" s="320">
        <f t="shared" si="9"/>
        <v>4400</v>
      </c>
      <c r="G27" s="320">
        <f t="shared" si="9"/>
        <v>13200</v>
      </c>
      <c r="H27" s="320">
        <f t="shared" si="9"/>
        <v>10600</v>
      </c>
      <c r="I27" s="320">
        <f t="shared" si="9"/>
        <v>10100</v>
      </c>
      <c r="J27" s="320">
        <f t="shared" si="9"/>
        <v>11300</v>
      </c>
      <c r="K27" s="320">
        <f t="shared" si="9"/>
        <v>8800</v>
      </c>
      <c r="L27" s="320">
        <f t="shared" si="9"/>
        <v>8000</v>
      </c>
      <c r="M27" s="320">
        <f t="shared" si="9"/>
        <v>7600</v>
      </c>
      <c r="N27" s="320">
        <f t="shared" si="9"/>
        <v>7600</v>
      </c>
      <c r="O27" s="320">
        <f t="shared" si="9"/>
        <v>3800</v>
      </c>
      <c r="P27" s="320">
        <f t="shared" si="9"/>
        <v>4600</v>
      </c>
      <c r="Q27" s="320">
        <f t="shared" si="9"/>
        <v>5300</v>
      </c>
      <c r="R27" s="320">
        <f t="shared" si="9"/>
        <v>2200</v>
      </c>
      <c r="S27" s="320">
        <f t="shared" si="9"/>
        <v>3500</v>
      </c>
      <c r="T27" s="320">
        <f t="shared" si="9"/>
        <v>23300</v>
      </c>
      <c r="U27" s="320">
        <f t="shared" si="9"/>
        <v>4800</v>
      </c>
      <c r="V27" s="320">
        <f t="shared" si="9"/>
        <v>13000</v>
      </c>
      <c r="W27" s="320">
        <f t="shared" si="9"/>
        <v>12400</v>
      </c>
      <c r="X27" s="320">
        <f t="shared" si="9"/>
        <v>1200</v>
      </c>
      <c r="Y27" s="320">
        <f t="shared" si="9"/>
        <v>10200</v>
      </c>
      <c r="Z27" s="320">
        <f t="shared" si="9"/>
        <v>2900</v>
      </c>
      <c r="AA27" s="320">
        <f t="shared" si="9"/>
        <v>4000</v>
      </c>
      <c r="AB27" s="320">
        <f t="shared" si="9"/>
        <v>4200</v>
      </c>
      <c r="AC27" s="320">
        <f t="shared" si="9"/>
        <v>4400</v>
      </c>
      <c r="AD27" s="320">
        <f t="shared" si="9"/>
        <v>4800</v>
      </c>
      <c r="AE27" s="320">
        <f t="shared" si="9"/>
        <v>2200</v>
      </c>
      <c r="AF27" s="320">
        <f t="shared" si="9"/>
        <v>0</v>
      </c>
      <c r="AG27" s="320">
        <f t="shared" si="9"/>
        <v>0</v>
      </c>
      <c r="AH27" s="320">
        <f t="shared" si="9"/>
        <v>0</v>
      </c>
      <c r="AI27" s="320">
        <f t="shared" si="9"/>
        <v>0</v>
      </c>
      <c r="AJ27" s="320">
        <f t="shared" si="9"/>
        <v>0</v>
      </c>
      <c r="AK27" s="320">
        <f t="shared" si="9"/>
        <v>0</v>
      </c>
      <c r="AL27" s="320">
        <f t="shared" si="9"/>
        <v>0</v>
      </c>
      <c r="AM27" s="320">
        <f t="shared" si="9"/>
        <v>0</v>
      </c>
      <c r="AN27" s="320">
        <f t="shared" si="9"/>
        <v>0</v>
      </c>
      <c r="AO27" s="320">
        <f t="shared" si="9"/>
        <v>0</v>
      </c>
      <c r="AP27" s="320">
        <f t="shared" si="9"/>
        <v>0</v>
      </c>
      <c r="AQ27" s="320">
        <f t="shared" si="9"/>
        <v>0</v>
      </c>
      <c r="AR27" s="320">
        <f t="shared" si="9"/>
        <v>0</v>
      </c>
      <c r="AS27" s="320">
        <f t="shared" si="9"/>
        <v>0</v>
      </c>
      <c r="AT27" s="320">
        <f t="shared" si="9"/>
        <v>0</v>
      </c>
      <c r="AU27" s="320">
        <f t="shared" si="9"/>
        <v>0</v>
      </c>
      <c r="AV27" s="320">
        <f t="shared" si="9"/>
        <v>0</v>
      </c>
      <c r="AW27" s="320">
        <f t="shared" si="9"/>
        <v>0</v>
      </c>
      <c r="AX27" s="320">
        <f t="shared" si="9"/>
        <v>0</v>
      </c>
      <c r="AY27" s="320">
        <f t="shared" si="9"/>
        <v>0</v>
      </c>
      <c r="AZ27" s="320">
        <f t="shared" si="9"/>
        <v>0</v>
      </c>
      <c r="BA27" s="320">
        <f t="shared" si="9"/>
        <v>0</v>
      </c>
      <c r="BB27" s="320">
        <f t="shared" si="9"/>
        <v>0</v>
      </c>
      <c r="BC27" s="320">
        <f t="shared" si="9"/>
        <v>0</v>
      </c>
      <c r="BD27" s="320">
        <f t="shared" si="9"/>
        <v>0</v>
      </c>
      <c r="BE27" s="320">
        <f t="shared" si="9"/>
        <v>0</v>
      </c>
      <c r="BF27" s="320">
        <f t="shared" si="9"/>
        <v>0</v>
      </c>
      <c r="BG27" s="320">
        <f t="shared" si="9"/>
        <v>0</v>
      </c>
      <c r="BH27" s="320">
        <f t="shared" si="9"/>
        <v>0</v>
      </c>
      <c r="BI27" s="320">
        <f t="shared" si="9"/>
        <v>0</v>
      </c>
      <c r="BJ27" s="320">
        <f t="shared" si="9"/>
        <v>0</v>
      </c>
      <c r="BK27" s="320">
        <f t="shared" si="9"/>
        <v>0</v>
      </c>
      <c r="BL27" s="320">
        <f t="shared" si="9"/>
        <v>0</v>
      </c>
      <c r="BM27" s="320">
        <f t="shared" si="9"/>
        <v>0</v>
      </c>
      <c r="BN27" s="320">
        <f t="shared" si="9"/>
        <v>0</v>
      </c>
      <c r="BO27" s="320">
        <f t="shared" si="9"/>
        <v>0</v>
      </c>
      <c r="BP27" s="320">
        <f t="shared" si="9"/>
        <v>0</v>
      </c>
      <c r="BQ27" s="320">
        <f t="shared" ref="BQ27:EB27" si="10">IF(ISBLANK(BQ22),0,(BQ18*1000*VLOOKUP(BQ22,$B$36:$D$41,2,0)))</f>
        <v>0</v>
      </c>
      <c r="BR27" s="320">
        <f t="shared" si="10"/>
        <v>0</v>
      </c>
      <c r="BS27" s="320">
        <f t="shared" si="10"/>
        <v>0</v>
      </c>
      <c r="BT27" s="320">
        <f t="shared" si="10"/>
        <v>0</v>
      </c>
      <c r="BU27" s="320">
        <f t="shared" si="10"/>
        <v>0</v>
      </c>
      <c r="BV27" s="320">
        <f t="shared" si="10"/>
        <v>0</v>
      </c>
      <c r="BW27" s="320">
        <f t="shared" si="10"/>
        <v>0</v>
      </c>
      <c r="BX27" s="320">
        <f t="shared" si="10"/>
        <v>0</v>
      </c>
      <c r="BY27" s="320">
        <f t="shared" si="10"/>
        <v>0</v>
      </c>
      <c r="BZ27" s="320">
        <f t="shared" si="10"/>
        <v>0</v>
      </c>
      <c r="CA27" s="320">
        <f t="shared" si="10"/>
        <v>0</v>
      </c>
      <c r="CB27" s="320">
        <f t="shared" si="10"/>
        <v>0</v>
      </c>
      <c r="CC27" s="320">
        <f t="shared" si="10"/>
        <v>0</v>
      </c>
      <c r="CD27" s="320">
        <f t="shared" si="10"/>
        <v>0</v>
      </c>
      <c r="CE27" s="320">
        <f t="shared" si="10"/>
        <v>0</v>
      </c>
      <c r="CF27" s="320">
        <f t="shared" si="10"/>
        <v>0</v>
      </c>
      <c r="CG27" s="320">
        <f t="shared" si="10"/>
        <v>0</v>
      </c>
      <c r="CH27" s="320">
        <f t="shared" si="10"/>
        <v>0</v>
      </c>
      <c r="CI27" s="320">
        <f t="shared" si="10"/>
        <v>0</v>
      </c>
      <c r="CJ27" s="320">
        <f t="shared" si="10"/>
        <v>0</v>
      </c>
      <c r="CK27" s="320">
        <f t="shared" si="10"/>
        <v>0</v>
      </c>
      <c r="CL27" s="320">
        <f t="shared" si="10"/>
        <v>0</v>
      </c>
      <c r="CM27" s="320">
        <f t="shared" si="10"/>
        <v>0</v>
      </c>
      <c r="CN27" s="320">
        <f t="shared" si="10"/>
        <v>0</v>
      </c>
      <c r="CO27" s="320">
        <f t="shared" si="10"/>
        <v>0</v>
      </c>
      <c r="CP27" s="320">
        <f t="shared" si="10"/>
        <v>0</v>
      </c>
      <c r="CQ27" s="320">
        <f t="shared" si="10"/>
        <v>0</v>
      </c>
      <c r="CR27" s="320">
        <f t="shared" si="10"/>
        <v>0</v>
      </c>
      <c r="CS27" s="320">
        <f t="shared" si="10"/>
        <v>0</v>
      </c>
      <c r="CT27" s="320">
        <f t="shared" si="10"/>
        <v>0</v>
      </c>
      <c r="CU27" s="320">
        <f t="shared" si="10"/>
        <v>0</v>
      </c>
      <c r="CV27" s="320">
        <f t="shared" si="10"/>
        <v>0</v>
      </c>
      <c r="CW27" s="320">
        <f t="shared" si="10"/>
        <v>0</v>
      </c>
      <c r="CX27" s="320">
        <f t="shared" si="10"/>
        <v>0</v>
      </c>
      <c r="CY27" s="320">
        <f t="shared" si="10"/>
        <v>0</v>
      </c>
      <c r="CZ27" s="320">
        <f t="shared" si="10"/>
        <v>0</v>
      </c>
      <c r="DA27" s="320">
        <f t="shared" si="10"/>
        <v>0</v>
      </c>
      <c r="DB27" s="320">
        <f t="shared" si="10"/>
        <v>0</v>
      </c>
      <c r="DC27" s="320">
        <f t="shared" si="10"/>
        <v>0</v>
      </c>
      <c r="DD27" s="320">
        <f t="shared" si="10"/>
        <v>0</v>
      </c>
      <c r="DE27" s="320">
        <f t="shared" si="10"/>
        <v>0</v>
      </c>
      <c r="DF27" s="320">
        <f t="shared" si="10"/>
        <v>0</v>
      </c>
      <c r="DG27" s="320">
        <f t="shared" si="10"/>
        <v>0</v>
      </c>
      <c r="DH27" s="320">
        <f t="shared" si="10"/>
        <v>0</v>
      </c>
      <c r="DI27" s="320">
        <f t="shared" si="10"/>
        <v>0</v>
      </c>
      <c r="DJ27" s="320">
        <f t="shared" si="10"/>
        <v>0</v>
      </c>
      <c r="DK27" s="320">
        <f t="shared" si="10"/>
        <v>0</v>
      </c>
      <c r="DL27" s="320">
        <f t="shared" si="10"/>
        <v>0</v>
      </c>
      <c r="DM27" s="320">
        <f t="shared" si="10"/>
        <v>0</v>
      </c>
      <c r="DN27" s="320">
        <f t="shared" si="10"/>
        <v>0</v>
      </c>
      <c r="DO27" s="320">
        <f t="shared" si="10"/>
        <v>0</v>
      </c>
      <c r="DP27" s="320">
        <f t="shared" si="10"/>
        <v>0</v>
      </c>
      <c r="DQ27" s="320">
        <f t="shared" si="10"/>
        <v>0</v>
      </c>
      <c r="DR27" s="320">
        <f t="shared" si="10"/>
        <v>0</v>
      </c>
      <c r="DS27" s="320">
        <f t="shared" si="10"/>
        <v>0</v>
      </c>
      <c r="DT27" s="320">
        <f t="shared" si="10"/>
        <v>0</v>
      </c>
      <c r="DU27" s="320">
        <f t="shared" si="10"/>
        <v>0</v>
      </c>
      <c r="DV27" s="320">
        <f t="shared" si="10"/>
        <v>0</v>
      </c>
      <c r="DW27" s="320">
        <f t="shared" si="10"/>
        <v>0</v>
      </c>
      <c r="DX27" s="320">
        <f t="shared" si="10"/>
        <v>0</v>
      </c>
      <c r="DY27" s="320">
        <f t="shared" si="10"/>
        <v>0</v>
      </c>
      <c r="DZ27" s="320">
        <f t="shared" si="10"/>
        <v>0</v>
      </c>
      <c r="EA27" s="320">
        <f t="shared" si="10"/>
        <v>0</v>
      </c>
      <c r="EB27" s="320">
        <f t="shared" si="10"/>
        <v>0</v>
      </c>
      <c r="EC27" s="320">
        <f t="shared" ref="EC27:GA27" si="11">IF(ISBLANK(EC22),0,(EC18*1000*VLOOKUP(EC22,$B$36:$D$41,2,0)))</f>
        <v>0</v>
      </c>
      <c r="ED27" s="320">
        <f t="shared" si="11"/>
        <v>0</v>
      </c>
      <c r="EE27" s="320">
        <f t="shared" si="11"/>
        <v>0</v>
      </c>
      <c r="EF27" s="320">
        <f t="shared" si="11"/>
        <v>0</v>
      </c>
      <c r="EG27" s="320">
        <f t="shared" si="11"/>
        <v>0</v>
      </c>
      <c r="EH27" s="320">
        <f t="shared" si="11"/>
        <v>0</v>
      </c>
      <c r="EI27" s="320">
        <f t="shared" si="11"/>
        <v>0</v>
      </c>
      <c r="EJ27" s="320">
        <f t="shared" si="11"/>
        <v>0</v>
      </c>
      <c r="EK27" s="320">
        <f t="shared" si="11"/>
        <v>0</v>
      </c>
      <c r="EL27" s="320">
        <f t="shared" si="11"/>
        <v>0</v>
      </c>
      <c r="EM27" s="320">
        <f t="shared" si="11"/>
        <v>0</v>
      </c>
      <c r="EN27" s="320">
        <f t="shared" si="11"/>
        <v>0</v>
      </c>
      <c r="EO27" s="320">
        <f t="shared" si="11"/>
        <v>0</v>
      </c>
      <c r="EP27" s="320">
        <f t="shared" si="11"/>
        <v>0</v>
      </c>
      <c r="EQ27" s="320">
        <f t="shared" si="11"/>
        <v>0</v>
      </c>
      <c r="ER27" s="320">
        <f t="shared" si="11"/>
        <v>0</v>
      </c>
      <c r="ES27" s="320">
        <f t="shared" si="11"/>
        <v>0</v>
      </c>
      <c r="ET27" s="320">
        <f t="shared" si="11"/>
        <v>0</v>
      </c>
      <c r="EU27" s="320">
        <f t="shared" si="11"/>
        <v>0</v>
      </c>
      <c r="EV27" s="320">
        <f t="shared" si="11"/>
        <v>0</v>
      </c>
      <c r="EW27" s="320">
        <f t="shared" si="11"/>
        <v>0</v>
      </c>
      <c r="EX27" s="320">
        <f t="shared" si="11"/>
        <v>0</v>
      </c>
      <c r="EY27" s="320">
        <f t="shared" si="11"/>
        <v>0</v>
      </c>
      <c r="EZ27" s="320">
        <f t="shared" si="11"/>
        <v>0</v>
      </c>
      <c r="FA27" s="320">
        <f t="shared" si="11"/>
        <v>0</v>
      </c>
      <c r="FB27" s="320">
        <f t="shared" si="11"/>
        <v>0</v>
      </c>
      <c r="FC27" s="320">
        <f t="shared" si="11"/>
        <v>0</v>
      </c>
      <c r="FD27" s="320">
        <f t="shared" si="11"/>
        <v>0</v>
      </c>
      <c r="FE27" s="320">
        <f t="shared" si="11"/>
        <v>0</v>
      </c>
      <c r="FF27" s="320">
        <f t="shared" si="11"/>
        <v>0</v>
      </c>
      <c r="FG27" s="320">
        <f t="shared" si="11"/>
        <v>0</v>
      </c>
      <c r="FH27" s="320">
        <f t="shared" si="11"/>
        <v>0</v>
      </c>
      <c r="FI27" s="320">
        <f t="shared" si="11"/>
        <v>0</v>
      </c>
      <c r="FJ27" s="320">
        <f t="shared" si="11"/>
        <v>0</v>
      </c>
      <c r="FK27" s="320">
        <f t="shared" si="11"/>
        <v>0</v>
      </c>
      <c r="FL27" s="320">
        <f t="shared" si="11"/>
        <v>0</v>
      </c>
      <c r="FM27" s="320">
        <f t="shared" si="11"/>
        <v>0</v>
      </c>
      <c r="FN27" s="320">
        <f t="shared" si="11"/>
        <v>0</v>
      </c>
      <c r="FO27" s="320">
        <f t="shared" si="11"/>
        <v>0</v>
      </c>
      <c r="FP27" s="320">
        <f t="shared" si="11"/>
        <v>0</v>
      </c>
      <c r="FQ27" s="320">
        <f t="shared" si="11"/>
        <v>0</v>
      </c>
      <c r="FR27" s="320">
        <f t="shared" si="11"/>
        <v>0</v>
      </c>
      <c r="FS27" s="320">
        <f t="shared" si="11"/>
        <v>0</v>
      </c>
      <c r="FT27" s="320">
        <f t="shared" si="11"/>
        <v>0</v>
      </c>
      <c r="FU27" s="320">
        <f t="shared" si="11"/>
        <v>0</v>
      </c>
      <c r="FV27" s="320">
        <f t="shared" si="11"/>
        <v>0</v>
      </c>
      <c r="FW27" s="320">
        <f t="shared" si="11"/>
        <v>0</v>
      </c>
      <c r="FX27" s="320">
        <f t="shared" si="11"/>
        <v>0</v>
      </c>
      <c r="FY27" s="320">
        <f t="shared" si="11"/>
        <v>0</v>
      </c>
      <c r="FZ27" s="320">
        <f t="shared" si="11"/>
        <v>0</v>
      </c>
      <c r="GA27" s="320">
        <f t="shared" si="11"/>
        <v>0</v>
      </c>
      <c r="GB27" s="320">
        <f t="shared" ref="GB27:IM27" si="12">IF(ISBLANK(GB22),0,(GB18*1000*VLOOKUP(GB22,$B$36:$D$41,2,0)))</f>
        <v>0</v>
      </c>
      <c r="GC27" s="320">
        <f t="shared" si="12"/>
        <v>0</v>
      </c>
      <c r="GD27" s="320">
        <f t="shared" si="12"/>
        <v>0</v>
      </c>
      <c r="GE27" s="320">
        <f t="shared" si="12"/>
        <v>0</v>
      </c>
      <c r="GF27" s="320">
        <f t="shared" si="12"/>
        <v>0</v>
      </c>
      <c r="GG27" s="320">
        <f t="shared" si="12"/>
        <v>0</v>
      </c>
      <c r="GH27" s="320">
        <f t="shared" si="12"/>
        <v>0</v>
      </c>
      <c r="GI27" s="320">
        <f t="shared" si="12"/>
        <v>0</v>
      </c>
      <c r="GJ27" s="320">
        <f t="shared" si="12"/>
        <v>0</v>
      </c>
      <c r="GK27" s="320">
        <f t="shared" si="12"/>
        <v>0</v>
      </c>
      <c r="GL27" s="320">
        <f t="shared" si="12"/>
        <v>0</v>
      </c>
      <c r="GM27" s="320">
        <f t="shared" si="12"/>
        <v>0</v>
      </c>
      <c r="GN27" s="320">
        <f t="shared" si="12"/>
        <v>0</v>
      </c>
      <c r="GO27" s="320">
        <f t="shared" si="12"/>
        <v>0</v>
      </c>
      <c r="GP27" s="320">
        <f t="shared" si="12"/>
        <v>0</v>
      </c>
      <c r="GQ27" s="320">
        <f t="shared" si="12"/>
        <v>0</v>
      </c>
      <c r="GR27" s="320">
        <f t="shared" si="12"/>
        <v>0</v>
      </c>
      <c r="GS27" s="320">
        <f t="shared" si="12"/>
        <v>0</v>
      </c>
      <c r="GT27" s="320">
        <f t="shared" si="12"/>
        <v>0</v>
      </c>
      <c r="GU27" s="320">
        <f t="shared" si="12"/>
        <v>0</v>
      </c>
      <c r="GV27" s="320">
        <f t="shared" si="12"/>
        <v>0</v>
      </c>
      <c r="GW27" s="320">
        <f t="shared" si="12"/>
        <v>0</v>
      </c>
      <c r="GX27" s="320">
        <f t="shared" si="12"/>
        <v>0</v>
      </c>
      <c r="GY27" s="320">
        <f t="shared" si="12"/>
        <v>0</v>
      </c>
      <c r="GZ27" s="320">
        <f t="shared" si="12"/>
        <v>0</v>
      </c>
      <c r="HA27" s="320">
        <f t="shared" si="12"/>
        <v>0</v>
      </c>
      <c r="HB27" s="320">
        <f t="shared" si="12"/>
        <v>0</v>
      </c>
      <c r="HC27" s="320">
        <f t="shared" si="12"/>
        <v>0</v>
      </c>
      <c r="HD27" s="320">
        <f t="shared" si="12"/>
        <v>0</v>
      </c>
      <c r="HE27" s="320">
        <f t="shared" si="12"/>
        <v>0</v>
      </c>
      <c r="HF27" s="320">
        <f t="shared" si="12"/>
        <v>0</v>
      </c>
      <c r="HG27" s="320">
        <f t="shared" si="12"/>
        <v>0</v>
      </c>
      <c r="HH27" s="320">
        <f t="shared" si="12"/>
        <v>0</v>
      </c>
      <c r="HI27" s="320">
        <f t="shared" si="12"/>
        <v>0</v>
      </c>
      <c r="HJ27" s="320">
        <f t="shared" si="12"/>
        <v>0</v>
      </c>
      <c r="HK27" s="320">
        <f t="shared" si="12"/>
        <v>0</v>
      </c>
      <c r="HL27" s="320">
        <f t="shared" si="12"/>
        <v>0</v>
      </c>
      <c r="HM27" s="320">
        <f t="shared" si="12"/>
        <v>0</v>
      </c>
      <c r="HN27" s="320">
        <f t="shared" si="12"/>
        <v>0</v>
      </c>
      <c r="HO27" s="320">
        <f t="shared" si="12"/>
        <v>0</v>
      </c>
      <c r="HP27" s="320">
        <f t="shared" si="12"/>
        <v>0</v>
      </c>
      <c r="HQ27" s="320">
        <f t="shared" si="12"/>
        <v>0</v>
      </c>
      <c r="HR27" s="320">
        <f t="shared" si="12"/>
        <v>0</v>
      </c>
      <c r="HS27" s="320">
        <f t="shared" si="12"/>
        <v>0</v>
      </c>
      <c r="HT27" s="320">
        <f t="shared" si="12"/>
        <v>0</v>
      </c>
      <c r="HU27" s="320">
        <f t="shared" si="12"/>
        <v>0</v>
      </c>
      <c r="HV27" s="320">
        <f t="shared" si="12"/>
        <v>0</v>
      </c>
      <c r="HW27" s="320">
        <f t="shared" si="12"/>
        <v>0</v>
      </c>
      <c r="HX27" s="320">
        <f t="shared" si="12"/>
        <v>0</v>
      </c>
      <c r="HY27" s="320">
        <f t="shared" si="12"/>
        <v>0</v>
      </c>
      <c r="HZ27" s="320">
        <f t="shared" si="12"/>
        <v>0</v>
      </c>
      <c r="IA27" s="320">
        <f t="shared" si="12"/>
        <v>0</v>
      </c>
      <c r="IB27" s="320">
        <f t="shared" si="12"/>
        <v>0</v>
      </c>
      <c r="IC27" s="320">
        <f t="shared" si="12"/>
        <v>0</v>
      </c>
      <c r="ID27" s="320">
        <f t="shared" si="12"/>
        <v>0</v>
      </c>
      <c r="IE27" s="320">
        <f t="shared" si="12"/>
        <v>0</v>
      </c>
      <c r="IF27" s="320">
        <f t="shared" si="12"/>
        <v>0</v>
      </c>
      <c r="IG27" s="320">
        <f t="shared" si="12"/>
        <v>0</v>
      </c>
      <c r="IH27" s="320">
        <f t="shared" si="12"/>
        <v>0</v>
      </c>
      <c r="II27" s="320">
        <f t="shared" si="12"/>
        <v>0</v>
      </c>
      <c r="IJ27" s="320">
        <f t="shared" si="12"/>
        <v>0</v>
      </c>
      <c r="IK27" s="320">
        <f t="shared" si="12"/>
        <v>0</v>
      </c>
      <c r="IL27" s="320">
        <f t="shared" si="12"/>
        <v>0</v>
      </c>
      <c r="IM27" s="320">
        <f t="shared" si="12"/>
        <v>0</v>
      </c>
      <c r="IN27" s="320">
        <f t="shared" ref="IN27:IZ27" si="13">IF(ISBLANK(IN22),0,(IN18*1000*VLOOKUP(IN22,$B$36:$D$41,2,0)))</f>
        <v>0</v>
      </c>
      <c r="IO27" s="320">
        <f t="shared" si="13"/>
        <v>0</v>
      </c>
      <c r="IP27" s="320">
        <f t="shared" si="13"/>
        <v>0</v>
      </c>
      <c r="IQ27" s="320">
        <f t="shared" si="13"/>
        <v>0</v>
      </c>
      <c r="IR27" s="320">
        <f t="shared" si="13"/>
        <v>0</v>
      </c>
      <c r="IS27" s="320">
        <f t="shared" si="13"/>
        <v>0</v>
      </c>
      <c r="IT27" s="320">
        <f t="shared" si="13"/>
        <v>0</v>
      </c>
      <c r="IU27" s="320">
        <f t="shared" si="13"/>
        <v>0</v>
      </c>
      <c r="IV27" s="320">
        <f t="shared" si="13"/>
        <v>0</v>
      </c>
      <c r="IW27" s="320">
        <f t="shared" si="13"/>
        <v>0</v>
      </c>
      <c r="IX27" s="320">
        <f t="shared" si="13"/>
        <v>0</v>
      </c>
      <c r="IY27" s="320">
        <f t="shared" si="13"/>
        <v>0</v>
      </c>
      <c r="IZ27" s="320">
        <f t="shared" si="13"/>
        <v>0</v>
      </c>
    </row>
    <row r="28" spans="1:260" s="108" customFormat="1" ht="12.95" customHeight="1" x14ac:dyDescent="0.25">
      <c r="A28" s="179">
        <v>333</v>
      </c>
      <c r="B28" s="217"/>
      <c r="C28" s="298" t="s">
        <v>374</v>
      </c>
      <c r="D28" s="107">
        <f>IF(ISBLANK(D22),0,SUM(D26:D27))</f>
        <v>49800</v>
      </c>
      <c r="E28" s="107">
        <f t="shared" ref="E28:BP28" si="14">IF(ISBLANK(E22),0,SUM(E26:E27))</f>
        <v>19100</v>
      </c>
      <c r="F28" s="107">
        <f t="shared" si="14"/>
        <v>6600</v>
      </c>
      <c r="G28" s="107">
        <f t="shared" si="14"/>
        <v>22720</v>
      </c>
      <c r="H28" s="107">
        <f t="shared" si="14"/>
        <v>18160</v>
      </c>
      <c r="I28" s="107">
        <f t="shared" si="14"/>
        <v>17380</v>
      </c>
      <c r="J28" s="107">
        <f t="shared" si="14"/>
        <v>19420</v>
      </c>
      <c r="K28" s="107">
        <f t="shared" si="14"/>
        <v>15100</v>
      </c>
      <c r="L28" s="107">
        <f t="shared" si="14"/>
        <v>13740</v>
      </c>
      <c r="M28" s="107">
        <f t="shared" si="14"/>
        <v>12920</v>
      </c>
      <c r="N28" s="107">
        <f t="shared" si="14"/>
        <v>12920</v>
      </c>
      <c r="O28" s="107">
        <f t="shared" si="14"/>
        <v>6460</v>
      </c>
      <c r="P28" s="107">
        <f t="shared" si="14"/>
        <v>7820</v>
      </c>
      <c r="Q28" s="107">
        <f t="shared" si="14"/>
        <v>9080</v>
      </c>
      <c r="R28" s="107">
        <f t="shared" si="14"/>
        <v>3740</v>
      </c>
      <c r="S28" s="107">
        <f t="shared" si="14"/>
        <v>6020</v>
      </c>
      <c r="T28" s="107">
        <f t="shared" si="14"/>
        <v>40100</v>
      </c>
      <c r="U28" s="107">
        <f t="shared" si="14"/>
        <v>6800</v>
      </c>
      <c r="V28" s="107">
        <f t="shared" si="14"/>
        <v>22100</v>
      </c>
      <c r="W28" s="107">
        <f t="shared" si="14"/>
        <v>21080</v>
      </c>
      <c r="X28" s="107">
        <f t="shared" si="14"/>
        <v>2040</v>
      </c>
      <c r="Y28" s="107">
        <f t="shared" si="14"/>
        <v>16200</v>
      </c>
      <c r="Z28" s="107">
        <f t="shared" si="14"/>
        <v>4900</v>
      </c>
      <c r="AA28" s="107">
        <f t="shared" si="14"/>
        <v>6800</v>
      </c>
      <c r="AB28" s="107">
        <f t="shared" si="14"/>
        <v>7200</v>
      </c>
      <c r="AC28" s="107">
        <f t="shared" si="14"/>
        <v>7760</v>
      </c>
      <c r="AD28" s="107">
        <f t="shared" si="14"/>
        <v>8300</v>
      </c>
      <c r="AE28" s="107">
        <f t="shared" si="14"/>
        <v>3880</v>
      </c>
      <c r="AF28" s="107">
        <f t="shared" si="14"/>
        <v>0</v>
      </c>
      <c r="AG28" s="107">
        <f t="shared" si="14"/>
        <v>0</v>
      </c>
      <c r="AH28" s="107">
        <f t="shared" si="14"/>
        <v>0</v>
      </c>
      <c r="AI28" s="107">
        <f t="shared" si="14"/>
        <v>0</v>
      </c>
      <c r="AJ28" s="107">
        <f t="shared" si="14"/>
        <v>0</v>
      </c>
      <c r="AK28" s="107">
        <f t="shared" si="14"/>
        <v>0</v>
      </c>
      <c r="AL28" s="107">
        <f t="shared" si="14"/>
        <v>0</v>
      </c>
      <c r="AM28" s="107">
        <f t="shared" si="14"/>
        <v>0</v>
      </c>
      <c r="AN28" s="107">
        <f t="shared" si="14"/>
        <v>0</v>
      </c>
      <c r="AO28" s="107">
        <f t="shared" si="14"/>
        <v>0</v>
      </c>
      <c r="AP28" s="107">
        <f t="shared" si="14"/>
        <v>0</v>
      </c>
      <c r="AQ28" s="107">
        <f t="shared" si="14"/>
        <v>0</v>
      </c>
      <c r="AR28" s="107">
        <f t="shared" si="14"/>
        <v>0</v>
      </c>
      <c r="AS28" s="107">
        <f t="shared" si="14"/>
        <v>0</v>
      </c>
      <c r="AT28" s="107">
        <f t="shared" si="14"/>
        <v>0</v>
      </c>
      <c r="AU28" s="107">
        <f t="shared" si="14"/>
        <v>0</v>
      </c>
      <c r="AV28" s="107">
        <f t="shared" si="14"/>
        <v>0</v>
      </c>
      <c r="AW28" s="107">
        <f t="shared" si="14"/>
        <v>0</v>
      </c>
      <c r="AX28" s="107">
        <f t="shared" si="14"/>
        <v>0</v>
      </c>
      <c r="AY28" s="107">
        <f t="shared" si="14"/>
        <v>0</v>
      </c>
      <c r="AZ28" s="107">
        <f t="shared" si="14"/>
        <v>0</v>
      </c>
      <c r="BA28" s="107">
        <f t="shared" si="14"/>
        <v>0</v>
      </c>
      <c r="BB28" s="107">
        <f t="shared" si="14"/>
        <v>0</v>
      </c>
      <c r="BC28" s="107">
        <f t="shared" si="14"/>
        <v>0</v>
      </c>
      <c r="BD28" s="107">
        <f t="shared" si="14"/>
        <v>0</v>
      </c>
      <c r="BE28" s="107">
        <f t="shared" si="14"/>
        <v>0</v>
      </c>
      <c r="BF28" s="107">
        <f t="shared" si="14"/>
        <v>0</v>
      </c>
      <c r="BG28" s="107">
        <f t="shared" si="14"/>
        <v>0</v>
      </c>
      <c r="BH28" s="107">
        <f t="shared" si="14"/>
        <v>0</v>
      </c>
      <c r="BI28" s="107">
        <f t="shared" si="14"/>
        <v>0</v>
      </c>
      <c r="BJ28" s="107">
        <f t="shared" si="14"/>
        <v>0</v>
      </c>
      <c r="BK28" s="107">
        <f t="shared" si="14"/>
        <v>0</v>
      </c>
      <c r="BL28" s="107">
        <f t="shared" si="14"/>
        <v>0</v>
      </c>
      <c r="BM28" s="107">
        <f t="shared" si="14"/>
        <v>0</v>
      </c>
      <c r="BN28" s="107">
        <f t="shared" si="14"/>
        <v>0</v>
      </c>
      <c r="BO28" s="107">
        <f t="shared" si="14"/>
        <v>0</v>
      </c>
      <c r="BP28" s="107">
        <f t="shared" si="14"/>
        <v>0</v>
      </c>
      <c r="BQ28" s="107">
        <f t="shared" ref="BQ28:EB28" si="15">IF(ISBLANK(BQ22),0,SUM(BQ26:BQ27))</f>
        <v>0</v>
      </c>
      <c r="BR28" s="107">
        <f t="shared" si="15"/>
        <v>0</v>
      </c>
      <c r="BS28" s="107">
        <f t="shared" si="15"/>
        <v>0</v>
      </c>
      <c r="BT28" s="107">
        <f t="shared" si="15"/>
        <v>0</v>
      </c>
      <c r="BU28" s="107">
        <f t="shared" si="15"/>
        <v>0</v>
      </c>
      <c r="BV28" s="107">
        <f t="shared" si="15"/>
        <v>0</v>
      </c>
      <c r="BW28" s="107">
        <f t="shared" si="15"/>
        <v>0</v>
      </c>
      <c r="BX28" s="107">
        <f t="shared" si="15"/>
        <v>0</v>
      </c>
      <c r="BY28" s="107">
        <f t="shared" si="15"/>
        <v>0</v>
      </c>
      <c r="BZ28" s="107">
        <f t="shared" si="15"/>
        <v>0</v>
      </c>
      <c r="CA28" s="107">
        <f t="shared" si="15"/>
        <v>0</v>
      </c>
      <c r="CB28" s="107">
        <f t="shared" si="15"/>
        <v>0</v>
      </c>
      <c r="CC28" s="107">
        <f t="shared" si="15"/>
        <v>0</v>
      </c>
      <c r="CD28" s="107">
        <f t="shared" si="15"/>
        <v>0</v>
      </c>
      <c r="CE28" s="107">
        <f t="shared" si="15"/>
        <v>0</v>
      </c>
      <c r="CF28" s="107">
        <f t="shared" si="15"/>
        <v>0</v>
      </c>
      <c r="CG28" s="107">
        <f t="shared" si="15"/>
        <v>0</v>
      </c>
      <c r="CH28" s="107">
        <f t="shared" si="15"/>
        <v>0</v>
      </c>
      <c r="CI28" s="107">
        <f t="shared" si="15"/>
        <v>0</v>
      </c>
      <c r="CJ28" s="107">
        <f t="shared" si="15"/>
        <v>0</v>
      </c>
      <c r="CK28" s="107">
        <f t="shared" si="15"/>
        <v>0</v>
      </c>
      <c r="CL28" s="107">
        <f t="shared" si="15"/>
        <v>0</v>
      </c>
      <c r="CM28" s="107">
        <f t="shared" si="15"/>
        <v>0</v>
      </c>
      <c r="CN28" s="107">
        <f t="shared" si="15"/>
        <v>0</v>
      </c>
      <c r="CO28" s="107">
        <f t="shared" si="15"/>
        <v>0</v>
      </c>
      <c r="CP28" s="107">
        <f t="shared" si="15"/>
        <v>0</v>
      </c>
      <c r="CQ28" s="107">
        <f t="shared" si="15"/>
        <v>0</v>
      </c>
      <c r="CR28" s="107">
        <f t="shared" si="15"/>
        <v>0</v>
      </c>
      <c r="CS28" s="107">
        <f t="shared" si="15"/>
        <v>0</v>
      </c>
      <c r="CT28" s="107">
        <f t="shared" si="15"/>
        <v>0</v>
      </c>
      <c r="CU28" s="107">
        <f t="shared" si="15"/>
        <v>0</v>
      </c>
      <c r="CV28" s="107">
        <f t="shared" si="15"/>
        <v>0</v>
      </c>
      <c r="CW28" s="107">
        <f t="shared" si="15"/>
        <v>0</v>
      </c>
      <c r="CX28" s="107">
        <f t="shared" si="15"/>
        <v>0</v>
      </c>
      <c r="CY28" s="107">
        <f t="shared" si="15"/>
        <v>0</v>
      </c>
      <c r="CZ28" s="107">
        <f t="shared" si="15"/>
        <v>0</v>
      </c>
      <c r="DA28" s="107">
        <f t="shared" si="15"/>
        <v>0</v>
      </c>
      <c r="DB28" s="107">
        <f t="shared" si="15"/>
        <v>0</v>
      </c>
      <c r="DC28" s="107">
        <f t="shared" si="15"/>
        <v>0</v>
      </c>
      <c r="DD28" s="107">
        <f t="shared" si="15"/>
        <v>0</v>
      </c>
      <c r="DE28" s="107">
        <f t="shared" si="15"/>
        <v>0</v>
      </c>
      <c r="DF28" s="107">
        <f t="shared" si="15"/>
        <v>0</v>
      </c>
      <c r="DG28" s="107">
        <f t="shared" si="15"/>
        <v>0</v>
      </c>
      <c r="DH28" s="107">
        <f t="shared" si="15"/>
        <v>0</v>
      </c>
      <c r="DI28" s="107">
        <f t="shared" si="15"/>
        <v>0</v>
      </c>
      <c r="DJ28" s="107">
        <f t="shared" si="15"/>
        <v>0</v>
      </c>
      <c r="DK28" s="107">
        <f t="shared" si="15"/>
        <v>0</v>
      </c>
      <c r="DL28" s="107">
        <f t="shared" si="15"/>
        <v>0</v>
      </c>
      <c r="DM28" s="107">
        <f t="shared" si="15"/>
        <v>0</v>
      </c>
      <c r="DN28" s="107">
        <f t="shared" si="15"/>
        <v>0</v>
      </c>
      <c r="DO28" s="107">
        <f t="shared" si="15"/>
        <v>0</v>
      </c>
      <c r="DP28" s="107">
        <f t="shared" si="15"/>
        <v>0</v>
      </c>
      <c r="DQ28" s="107">
        <f t="shared" si="15"/>
        <v>0</v>
      </c>
      <c r="DR28" s="107">
        <f t="shared" si="15"/>
        <v>0</v>
      </c>
      <c r="DS28" s="107">
        <f t="shared" si="15"/>
        <v>0</v>
      </c>
      <c r="DT28" s="107">
        <f t="shared" si="15"/>
        <v>0</v>
      </c>
      <c r="DU28" s="107">
        <f t="shared" si="15"/>
        <v>0</v>
      </c>
      <c r="DV28" s="107">
        <f t="shared" si="15"/>
        <v>0</v>
      </c>
      <c r="DW28" s="107">
        <f t="shared" si="15"/>
        <v>0</v>
      </c>
      <c r="DX28" s="107">
        <f t="shared" si="15"/>
        <v>0</v>
      </c>
      <c r="DY28" s="107">
        <f t="shared" si="15"/>
        <v>0</v>
      </c>
      <c r="DZ28" s="107">
        <f t="shared" si="15"/>
        <v>0</v>
      </c>
      <c r="EA28" s="107">
        <f t="shared" si="15"/>
        <v>0</v>
      </c>
      <c r="EB28" s="107">
        <f t="shared" si="15"/>
        <v>0</v>
      </c>
      <c r="EC28" s="107">
        <f t="shared" ref="EC28:GA28" si="16">IF(ISBLANK(EC22),0,SUM(EC26:EC27))</f>
        <v>0</v>
      </c>
      <c r="ED28" s="107">
        <f t="shared" si="16"/>
        <v>0</v>
      </c>
      <c r="EE28" s="107">
        <f t="shared" si="16"/>
        <v>0</v>
      </c>
      <c r="EF28" s="107">
        <f t="shared" si="16"/>
        <v>0</v>
      </c>
      <c r="EG28" s="107">
        <f t="shared" si="16"/>
        <v>0</v>
      </c>
      <c r="EH28" s="107">
        <f t="shared" si="16"/>
        <v>0</v>
      </c>
      <c r="EI28" s="107">
        <f t="shared" si="16"/>
        <v>0</v>
      </c>
      <c r="EJ28" s="107">
        <f t="shared" si="16"/>
        <v>0</v>
      </c>
      <c r="EK28" s="107">
        <f t="shared" si="16"/>
        <v>0</v>
      </c>
      <c r="EL28" s="107">
        <f t="shared" si="16"/>
        <v>0</v>
      </c>
      <c r="EM28" s="107">
        <f t="shared" si="16"/>
        <v>0</v>
      </c>
      <c r="EN28" s="107">
        <f t="shared" si="16"/>
        <v>0</v>
      </c>
      <c r="EO28" s="107">
        <f t="shared" si="16"/>
        <v>0</v>
      </c>
      <c r="EP28" s="107">
        <f t="shared" si="16"/>
        <v>0</v>
      </c>
      <c r="EQ28" s="107">
        <f t="shared" si="16"/>
        <v>0</v>
      </c>
      <c r="ER28" s="107">
        <f t="shared" si="16"/>
        <v>0</v>
      </c>
      <c r="ES28" s="107">
        <f t="shared" si="16"/>
        <v>0</v>
      </c>
      <c r="ET28" s="107">
        <f t="shared" si="16"/>
        <v>0</v>
      </c>
      <c r="EU28" s="107">
        <f t="shared" si="16"/>
        <v>0</v>
      </c>
      <c r="EV28" s="107">
        <f t="shared" si="16"/>
        <v>0</v>
      </c>
      <c r="EW28" s="107">
        <f t="shared" si="16"/>
        <v>0</v>
      </c>
      <c r="EX28" s="107">
        <f t="shared" si="16"/>
        <v>0</v>
      </c>
      <c r="EY28" s="107">
        <f t="shared" si="16"/>
        <v>0</v>
      </c>
      <c r="EZ28" s="107">
        <f t="shared" si="16"/>
        <v>0</v>
      </c>
      <c r="FA28" s="107">
        <f t="shared" si="16"/>
        <v>0</v>
      </c>
      <c r="FB28" s="107">
        <f t="shared" si="16"/>
        <v>0</v>
      </c>
      <c r="FC28" s="107">
        <f t="shared" si="16"/>
        <v>0</v>
      </c>
      <c r="FD28" s="107">
        <f t="shared" si="16"/>
        <v>0</v>
      </c>
      <c r="FE28" s="107">
        <f t="shared" si="16"/>
        <v>0</v>
      </c>
      <c r="FF28" s="107">
        <f t="shared" si="16"/>
        <v>0</v>
      </c>
      <c r="FG28" s="107">
        <f t="shared" si="16"/>
        <v>0</v>
      </c>
      <c r="FH28" s="107">
        <f t="shared" si="16"/>
        <v>0</v>
      </c>
      <c r="FI28" s="107">
        <f t="shared" si="16"/>
        <v>0</v>
      </c>
      <c r="FJ28" s="107">
        <f t="shared" si="16"/>
        <v>0</v>
      </c>
      <c r="FK28" s="107">
        <f t="shared" si="16"/>
        <v>0</v>
      </c>
      <c r="FL28" s="107">
        <f t="shared" si="16"/>
        <v>0</v>
      </c>
      <c r="FM28" s="107">
        <f t="shared" si="16"/>
        <v>0</v>
      </c>
      <c r="FN28" s="107">
        <f t="shared" si="16"/>
        <v>0</v>
      </c>
      <c r="FO28" s="107">
        <f t="shared" si="16"/>
        <v>0</v>
      </c>
      <c r="FP28" s="107">
        <f t="shared" si="16"/>
        <v>0</v>
      </c>
      <c r="FQ28" s="107">
        <f t="shared" si="16"/>
        <v>0</v>
      </c>
      <c r="FR28" s="107">
        <f t="shared" si="16"/>
        <v>0</v>
      </c>
      <c r="FS28" s="107">
        <f t="shared" si="16"/>
        <v>0</v>
      </c>
      <c r="FT28" s="107">
        <f t="shared" si="16"/>
        <v>0</v>
      </c>
      <c r="FU28" s="107">
        <f t="shared" si="16"/>
        <v>0</v>
      </c>
      <c r="FV28" s="107">
        <f t="shared" si="16"/>
        <v>0</v>
      </c>
      <c r="FW28" s="107">
        <f t="shared" si="16"/>
        <v>0</v>
      </c>
      <c r="FX28" s="107">
        <f t="shared" si="16"/>
        <v>0</v>
      </c>
      <c r="FY28" s="107">
        <f t="shared" si="16"/>
        <v>0</v>
      </c>
      <c r="FZ28" s="107">
        <f t="shared" si="16"/>
        <v>0</v>
      </c>
      <c r="GA28" s="107">
        <f t="shared" si="16"/>
        <v>0</v>
      </c>
      <c r="GB28" s="107">
        <f t="shared" ref="GB28:IM28" si="17">IF(ISBLANK(GB22),0,SUM(GB26:GB27))</f>
        <v>0</v>
      </c>
      <c r="GC28" s="107">
        <f t="shared" si="17"/>
        <v>0</v>
      </c>
      <c r="GD28" s="107">
        <f t="shared" si="17"/>
        <v>0</v>
      </c>
      <c r="GE28" s="107">
        <f t="shared" si="17"/>
        <v>0</v>
      </c>
      <c r="GF28" s="107">
        <f t="shared" si="17"/>
        <v>0</v>
      </c>
      <c r="GG28" s="107">
        <f t="shared" si="17"/>
        <v>0</v>
      </c>
      <c r="GH28" s="107">
        <f t="shared" si="17"/>
        <v>0</v>
      </c>
      <c r="GI28" s="107">
        <f t="shared" si="17"/>
        <v>0</v>
      </c>
      <c r="GJ28" s="107">
        <f t="shared" si="17"/>
        <v>0</v>
      </c>
      <c r="GK28" s="107">
        <f t="shared" si="17"/>
        <v>0</v>
      </c>
      <c r="GL28" s="107">
        <f t="shared" si="17"/>
        <v>0</v>
      </c>
      <c r="GM28" s="107">
        <f t="shared" si="17"/>
        <v>0</v>
      </c>
      <c r="GN28" s="107">
        <f t="shared" si="17"/>
        <v>0</v>
      </c>
      <c r="GO28" s="107">
        <f t="shared" si="17"/>
        <v>0</v>
      </c>
      <c r="GP28" s="107">
        <f t="shared" si="17"/>
        <v>0</v>
      </c>
      <c r="GQ28" s="107">
        <f t="shared" si="17"/>
        <v>0</v>
      </c>
      <c r="GR28" s="107">
        <f t="shared" si="17"/>
        <v>0</v>
      </c>
      <c r="GS28" s="107">
        <f t="shared" si="17"/>
        <v>0</v>
      </c>
      <c r="GT28" s="107">
        <f t="shared" si="17"/>
        <v>0</v>
      </c>
      <c r="GU28" s="107">
        <f t="shared" si="17"/>
        <v>0</v>
      </c>
      <c r="GV28" s="107">
        <f t="shared" si="17"/>
        <v>0</v>
      </c>
      <c r="GW28" s="107">
        <f t="shared" si="17"/>
        <v>0</v>
      </c>
      <c r="GX28" s="107">
        <f t="shared" si="17"/>
        <v>0</v>
      </c>
      <c r="GY28" s="107">
        <f t="shared" si="17"/>
        <v>0</v>
      </c>
      <c r="GZ28" s="107">
        <f t="shared" si="17"/>
        <v>0</v>
      </c>
      <c r="HA28" s="107">
        <f t="shared" si="17"/>
        <v>0</v>
      </c>
      <c r="HB28" s="107">
        <f t="shared" si="17"/>
        <v>0</v>
      </c>
      <c r="HC28" s="107">
        <f t="shared" si="17"/>
        <v>0</v>
      </c>
      <c r="HD28" s="107">
        <f t="shared" si="17"/>
        <v>0</v>
      </c>
      <c r="HE28" s="107">
        <f t="shared" si="17"/>
        <v>0</v>
      </c>
      <c r="HF28" s="107">
        <f t="shared" si="17"/>
        <v>0</v>
      </c>
      <c r="HG28" s="107">
        <f t="shared" si="17"/>
        <v>0</v>
      </c>
      <c r="HH28" s="107">
        <f t="shared" si="17"/>
        <v>0</v>
      </c>
      <c r="HI28" s="107">
        <f t="shared" si="17"/>
        <v>0</v>
      </c>
      <c r="HJ28" s="107">
        <f t="shared" si="17"/>
        <v>0</v>
      </c>
      <c r="HK28" s="107">
        <f t="shared" si="17"/>
        <v>0</v>
      </c>
      <c r="HL28" s="107">
        <f t="shared" si="17"/>
        <v>0</v>
      </c>
      <c r="HM28" s="107">
        <f t="shared" si="17"/>
        <v>0</v>
      </c>
      <c r="HN28" s="107">
        <f t="shared" si="17"/>
        <v>0</v>
      </c>
      <c r="HO28" s="107">
        <f t="shared" si="17"/>
        <v>0</v>
      </c>
      <c r="HP28" s="107">
        <f t="shared" si="17"/>
        <v>0</v>
      </c>
      <c r="HQ28" s="107">
        <f t="shared" si="17"/>
        <v>0</v>
      </c>
      <c r="HR28" s="107">
        <f t="shared" si="17"/>
        <v>0</v>
      </c>
      <c r="HS28" s="107">
        <f t="shared" si="17"/>
        <v>0</v>
      </c>
      <c r="HT28" s="107">
        <f t="shared" si="17"/>
        <v>0</v>
      </c>
      <c r="HU28" s="107">
        <f t="shared" si="17"/>
        <v>0</v>
      </c>
      <c r="HV28" s="107">
        <f t="shared" si="17"/>
        <v>0</v>
      </c>
      <c r="HW28" s="107">
        <f t="shared" si="17"/>
        <v>0</v>
      </c>
      <c r="HX28" s="107">
        <f t="shared" si="17"/>
        <v>0</v>
      </c>
      <c r="HY28" s="107">
        <f t="shared" si="17"/>
        <v>0</v>
      </c>
      <c r="HZ28" s="107">
        <f t="shared" si="17"/>
        <v>0</v>
      </c>
      <c r="IA28" s="107">
        <f t="shared" si="17"/>
        <v>0</v>
      </c>
      <c r="IB28" s="107">
        <f t="shared" si="17"/>
        <v>0</v>
      </c>
      <c r="IC28" s="107">
        <f t="shared" si="17"/>
        <v>0</v>
      </c>
      <c r="ID28" s="107">
        <f t="shared" si="17"/>
        <v>0</v>
      </c>
      <c r="IE28" s="107">
        <f t="shared" si="17"/>
        <v>0</v>
      </c>
      <c r="IF28" s="107">
        <f t="shared" si="17"/>
        <v>0</v>
      </c>
      <c r="IG28" s="107">
        <f t="shared" si="17"/>
        <v>0</v>
      </c>
      <c r="IH28" s="107">
        <f t="shared" si="17"/>
        <v>0</v>
      </c>
      <c r="II28" s="107">
        <f t="shared" si="17"/>
        <v>0</v>
      </c>
      <c r="IJ28" s="107">
        <f t="shared" si="17"/>
        <v>0</v>
      </c>
      <c r="IK28" s="107">
        <f t="shared" si="17"/>
        <v>0</v>
      </c>
      <c r="IL28" s="107">
        <f t="shared" si="17"/>
        <v>0</v>
      </c>
      <c r="IM28" s="107">
        <f t="shared" si="17"/>
        <v>0</v>
      </c>
      <c r="IN28" s="107">
        <f t="shared" ref="IN28:IZ28" si="18">IF(ISBLANK(IN22),0,SUM(IN26:IN27))</f>
        <v>0</v>
      </c>
      <c r="IO28" s="107">
        <f t="shared" si="18"/>
        <v>0</v>
      </c>
      <c r="IP28" s="107">
        <f t="shared" si="18"/>
        <v>0</v>
      </c>
      <c r="IQ28" s="107">
        <f t="shared" si="18"/>
        <v>0</v>
      </c>
      <c r="IR28" s="107">
        <f t="shared" si="18"/>
        <v>0</v>
      </c>
      <c r="IS28" s="107">
        <f t="shared" si="18"/>
        <v>0</v>
      </c>
      <c r="IT28" s="107">
        <f t="shared" si="18"/>
        <v>0</v>
      </c>
      <c r="IU28" s="107">
        <f t="shared" si="18"/>
        <v>0</v>
      </c>
      <c r="IV28" s="107">
        <f t="shared" si="18"/>
        <v>0</v>
      </c>
      <c r="IW28" s="107">
        <f t="shared" si="18"/>
        <v>0</v>
      </c>
      <c r="IX28" s="107">
        <f t="shared" si="18"/>
        <v>0</v>
      </c>
      <c r="IY28" s="107">
        <f t="shared" si="18"/>
        <v>0</v>
      </c>
      <c r="IZ28" s="107">
        <f t="shared" si="18"/>
        <v>0</v>
      </c>
    </row>
    <row r="29" spans="1:260" s="112" customFormat="1" ht="12.95" customHeight="1" x14ac:dyDescent="0.25">
      <c r="A29" s="179">
        <v>334</v>
      </c>
      <c r="B29" s="109"/>
      <c r="C29" s="110" t="s">
        <v>375</v>
      </c>
      <c r="D29" s="111">
        <f>IF(ISBLANK(D23),0,SUM(D25:D27))</f>
        <v>52280</v>
      </c>
      <c r="E29" s="111">
        <f t="shared" ref="E29:BP29" si="19">IF(ISBLANK(E23),0,SUM(E25:E27))</f>
        <v>20400</v>
      </c>
      <c r="F29" s="111">
        <f t="shared" si="19"/>
        <v>7040</v>
      </c>
      <c r="G29" s="111">
        <f t="shared" si="19"/>
        <v>24986.666666666664</v>
      </c>
      <c r="H29" s="111">
        <f t="shared" si="19"/>
        <v>19960</v>
      </c>
      <c r="I29" s="111">
        <f t="shared" si="19"/>
        <v>19113.333333333336</v>
      </c>
      <c r="J29" s="111">
        <f t="shared" si="19"/>
        <v>21353.333333333336</v>
      </c>
      <c r="K29" s="111">
        <f t="shared" si="19"/>
        <v>16600</v>
      </c>
      <c r="L29" s="111">
        <f t="shared" si="19"/>
        <v>15106.666666666668</v>
      </c>
      <c r="M29" s="111">
        <f t="shared" si="19"/>
        <v>14186.666666666668</v>
      </c>
      <c r="N29" s="111">
        <f t="shared" si="19"/>
        <v>14186.666666666668</v>
      </c>
      <c r="O29" s="111">
        <f t="shared" si="19"/>
        <v>7410</v>
      </c>
      <c r="P29" s="111">
        <f t="shared" si="19"/>
        <v>8586.6666666666661</v>
      </c>
      <c r="Q29" s="111">
        <f t="shared" si="19"/>
        <v>9980</v>
      </c>
      <c r="R29" s="111">
        <f t="shared" si="19"/>
        <v>4290</v>
      </c>
      <c r="S29" s="111">
        <f t="shared" si="19"/>
        <v>6920</v>
      </c>
      <c r="T29" s="111">
        <f t="shared" si="19"/>
        <v>43300</v>
      </c>
      <c r="U29" s="111">
        <f t="shared" si="19"/>
        <v>7400</v>
      </c>
      <c r="V29" s="111">
        <f t="shared" si="19"/>
        <v>24700</v>
      </c>
      <c r="W29" s="111">
        <f t="shared" si="19"/>
        <v>23146.666666666664</v>
      </c>
      <c r="X29" s="111">
        <f t="shared" si="19"/>
        <v>2340</v>
      </c>
      <c r="Y29" s="111">
        <f t="shared" si="19"/>
        <v>17866.666666666668</v>
      </c>
      <c r="Z29" s="111">
        <f t="shared" si="19"/>
        <v>5500</v>
      </c>
      <c r="AA29" s="111">
        <f t="shared" si="19"/>
        <v>7800</v>
      </c>
      <c r="AB29" s="111">
        <f t="shared" si="19"/>
        <v>8033.3333333333339</v>
      </c>
      <c r="AC29" s="111">
        <f t="shared" si="19"/>
        <v>8560</v>
      </c>
      <c r="AD29" s="111">
        <f t="shared" si="19"/>
        <v>9133.3333333333321</v>
      </c>
      <c r="AE29" s="111">
        <f t="shared" si="19"/>
        <v>4480</v>
      </c>
      <c r="AF29" s="111">
        <f t="shared" si="19"/>
        <v>0</v>
      </c>
      <c r="AG29" s="111">
        <f t="shared" si="19"/>
        <v>0</v>
      </c>
      <c r="AH29" s="111">
        <f t="shared" si="19"/>
        <v>0</v>
      </c>
      <c r="AI29" s="111">
        <f t="shared" si="19"/>
        <v>0</v>
      </c>
      <c r="AJ29" s="111">
        <f t="shared" si="19"/>
        <v>0</v>
      </c>
      <c r="AK29" s="111">
        <f t="shared" si="19"/>
        <v>0</v>
      </c>
      <c r="AL29" s="111">
        <f t="shared" si="19"/>
        <v>0</v>
      </c>
      <c r="AM29" s="111">
        <f t="shared" si="19"/>
        <v>0</v>
      </c>
      <c r="AN29" s="111">
        <f t="shared" si="19"/>
        <v>0</v>
      </c>
      <c r="AO29" s="111">
        <f t="shared" si="19"/>
        <v>0</v>
      </c>
      <c r="AP29" s="111">
        <f t="shared" si="19"/>
        <v>0</v>
      </c>
      <c r="AQ29" s="111">
        <f t="shared" si="19"/>
        <v>0</v>
      </c>
      <c r="AR29" s="111">
        <f t="shared" si="19"/>
        <v>0</v>
      </c>
      <c r="AS29" s="111">
        <f t="shared" si="19"/>
        <v>0</v>
      </c>
      <c r="AT29" s="111">
        <f t="shared" si="19"/>
        <v>0</v>
      </c>
      <c r="AU29" s="111">
        <f t="shared" si="19"/>
        <v>0</v>
      </c>
      <c r="AV29" s="111">
        <f t="shared" si="19"/>
        <v>0</v>
      </c>
      <c r="AW29" s="111">
        <f t="shared" si="19"/>
        <v>0</v>
      </c>
      <c r="AX29" s="111">
        <f t="shared" si="19"/>
        <v>0</v>
      </c>
      <c r="AY29" s="111">
        <f t="shared" si="19"/>
        <v>0</v>
      </c>
      <c r="AZ29" s="111">
        <f t="shared" si="19"/>
        <v>0</v>
      </c>
      <c r="BA29" s="111">
        <f t="shared" si="19"/>
        <v>0</v>
      </c>
      <c r="BB29" s="111">
        <f t="shared" si="19"/>
        <v>0</v>
      </c>
      <c r="BC29" s="111">
        <f t="shared" si="19"/>
        <v>0</v>
      </c>
      <c r="BD29" s="111">
        <f t="shared" si="19"/>
        <v>0</v>
      </c>
      <c r="BE29" s="111">
        <f t="shared" si="19"/>
        <v>0</v>
      </c>
      <c r="BF29" s="111">
        <f t="shared" si="19"/>
        <v>0</v>
      </c>
      <c r="BG29" s="111">
        <f t="shared" si="19"/>
        <v>0</v>
      </c>
      <c r="BH29" s="111">
        <f t="shared" si="19"/>
        <v>0</v>
      </c>
      <c r="BI29" s="111">
        <f t="shared" si="19"/>
        <v>0</v>
      </c>
      <c r="BJ29" s="111">
        <f t="shared" si="19"/>
        <v>0</v>
      </c>
      <c r="BK29" s="111">
        <f t="shared" si="19"/>
        <v>0</v>
      </c>
      <c r="BL29" s="111">
        <f t="shared" si="19"/>
        <v>0</v>
      </c>
      <c r="BM29" s="111">
        <f t="shared" si="19"/>
        <v>0</v>
      </c>
      <c r="BN29" s="111">
        <f t="shared" si="19"/>
        <v>0</v>
      </c>
      <c r="BO29" s="111">
        <f t="shared" si="19"/>
        <v>0</v>
      </c>
      <c r="BP29" s="111">
        <f t="shared" si="19"/>
        <v>0</v>
      </c>
      <c r="BQ29" s="111">
        <f t="shared" ref="BQ29:EB29" si="20">IF(ISBLANK(BQ23),0,SUM(BQ25:BQ27))</f>
        <v>0</v>
      </c>
      <c r="BR29" s="111">
        <f t="shared" si="20"/>
        <v>0</v>
      </c>
      <c r="BS29" s="111">
        <f t="shared" si="20"/>
        <v>0</v>
      </c>
      <c r="BT29" s="111">
        <f t="shared" si="20"/>
        <v>0</v>
      </c>
      <c r="BU29" s="111">
        <f t="shared" si="20"/>
        <v>0</v>
      </c>
      <c r="BV29" s="111">
        <f t="shared" si="20"/>
        <v>0</v>
      </c>
      <c r="BW29" s="111">
        <f t="shared" si="20"/>
        <v>0</v>
      </c>
      <c r="BX29" s="111">
        <f t="shared" si="20"/>
        <v>0</v>
      </c>
      <c r="BY29" s="111">
        <f t="shared" si="20"/>
        <v>0</v>
      </c>
      <c r="BZ29" s="111">
        <f t="shared" si="20"/>
        <v>0</v>
      </c>
      <c r="CA29" s="111">
        <f t="shared" si="20"/>
        <v>0</v>
      </c>
      <c r="CB29" s="111">
        <f t="shared" si="20"/>
        <v>0</v>
      </c>
      <c r="CC29" s="111">
        <f t="shared" si="20"/>
        <v>0</v>
      </c>
      <c r="CD29" s="111">
        <f t="shared" si="20"/>
        <v>0</v>
      </c>
      <c r="CE29" s="111">
        <f t="shared" si="20"/>
        <v>0</v>
      </c>
      <c r="CF29" s="111">
        <f t="shared" si="20"/>
        <v>0</v>
      </c>
      <c r="CG29" s="111">
        <f t="shared" si="20"/>
        <v>0</v>
      </c>
      <c r="CH29" s="111">
        <f t="shared" si="20"/>
        <v>0</v>
      </c>
      <c r="CI29" s="111">
        <f t="shared" si="20"/>
        <v>0</v>
      </c>
      <c r="CJ29" s="111">
        <f t="shared" si="20"/>
        <v>0</v>
      </c>
      <c r="CK29" s="111">
        <f t="shared" si="20"/>
        <v>0</v>
      </c>
      <c r="CL29" s="111">
        <f t="shared" si="20"/>
        <v>0</v>
      </c>
      <c r="CM29" s="111">
        <f t="shared" si="20"/>
        <v>0</v>
      </c>
      <c r="CN29" s="111">
        <f t="shared" si="20"/>
        <v>0</v>
      </c>
      <c r="CO29" s="111">
        <f t="shared" si="20"/>
        <v>0</v>
      </c>
      <c r="CP29" s="111">
        <f t="shared" si="20"/>
        <v>0</v>
      </c>
      <c r="CQ29" s="111">
        <f t="shared" si="20"/>
        <v>0</v>
      </c>
      <c r="CR29" s="111">
        <f t="shared" si="20"/>
        <v>0</v>
      </c>
      <c r="CS29" s="111">
        <f t="shared" si="20"/>
        <v>0</v>
      </c>
      <c r="CT29" s="111">
        <f t="shared" si="20"/>
        <v>0</v>
      </c>
      <c r="CU29" s="111">
        <f t="shared" si="20"/>
        <v>0</v>
      </c>
      <c r="CV29" s="111">
        <f t="shared" si="20"/>
        <v>0</v>
      </c>
      <c r="CW29" s="111">
        <f t="shared" si="20"/>
        <v>0</v>
      </c>
      <c r="CX29" s="111">
        <f t="shared" si="20"/>
        <v>0</v>
      </c>
      <c r="CY29" s="111">
        <f t="shared" si="20"/>
        <v>0</v>
      </c>
      <c r="CZ29" s="111">
        <f t="shared" si="20"/>
        <v>0</v>
      </c>
      <c r="DA29" s="111">
        <f t="shared" si="20"/>
        <v>0</v>
      </c>
      <c r="DB29" s="111">
        <f t="shared" si="20"/>
        <v>0</v>
      </c>
      <c r="DC29" s="111">
        <f t="shared" si="20"/>
        <v>0</v>
      </c>
      <c r="DD29" s="111">
        <f t="shared" si="20"/>
        <v>0</v>
      </c>
      <c r="DE29" s="111">
        <f t="shared" si="20"/>
        <v>0</v>
      </c>
      <c r="DF29" s="111">
        <f t="shared" si="20"/>
        <v>0</v>
      </c>
      <c r="DG29" s="111">
        <f t="shared" si="20"/>
        <v>0</v>
      </c>
      <c r="DH29" s="111">
        <f t="shared" si="20"/>
        <v>0</v>
      </c>
      <c r="DI29" s="111">
        <f t="shared" si="20"/>
        <v>0</v>
      </c>
      <c r="DJ29" s="111">
        <f t="shared" si="20"/>
        <v>0</v>
      </c>
      <c r="DK29" s="111">
        <f t="shared" si="20"/>
        <v>0</v>
      </c>
      <c r="DL29" s="111">
        <f t="shared" si="20"/>
        <v>0</v>
      </c>
      <c r="DM29" s="111">
        <f t="shared" si="20"/>
        <v>0</v>
      </c>
      <c r="DN29" s="111">
        <f t="shared" si="20"/>
        <v>0</v>
      </c>
      <c r="DO29" s="111">
        <f t="shared" si="20"/>
        <v>0</v>
      </c>
      <c r="DP29" s="111">
        <f t="shared" si="20"/>
        <v>0</v>
      </c>
      <c r="DQ29" s="111">
        <f t="shared" si="20"/>
        <v>0</v>
      </c>
      <c r="DR29" s="111">
        <f t="shared" si="20"/>
        <v>0</v>
      </c>
      <c r="DS29" s="111">
        <f t="shared" si="20"/>
        <v>0</v>
      </c>
      <c r="DT29" s="111">
        <f t="shared" si="20"/>
        <v>0</v>
      </c>
      <c r="DU29" s="111">
        <f t="shared" si="20"/>
        <v>0</v>
      </c>
      <c r="DV29" s="111">
        <f t="shared" si="20"/>
        <v>0</v>
      </c>
      <c r="DW29" s="111">
        <f t="shared" si="20"/>
        <v>0</v>
      </c>
      <c r="DX29" s="111">
        <f t="shared" si="20"/>
        <v>0</v>
      </c>
      <c r="DY29" s="111">
        <f t="shared" si="20"/>
        <v>0</v>
      </c>
      <c r="DZ29" s="111">
        <f t="shared" si="20"/>
        <v>0</v>
      </c>
      <c r="EA29" s="111">
        <f t="shared" si="20"/>
        <v>0</v>
      </c>
      <c r="EB29" s="111">
        <f t="shared" si="20"/>
        <v>0</v>
      </c>
      <c r="EC29" s="111">
        <f t="shared" ref="EC29:GA29" si="21">IF(ISBLANK(EC23),0,SUM(EC25:EC27))</f>
        <v>0</v>
      </c>
      <c r="ED29" s="111">
        <f t="shared" si="21"/>
        <v>0</v>
      </c>
      <c r="EE29" s="111">
        <f t="shared" si="21"/>
        <v>0</v>
      </c>
      <c r="EF29" s="111">
        <f t="shared" si="21"/>
        <v>0</v>
      </c>
      <c r="EG29" s="111">
        <f t="shared" si="21"/>
        <v>0</v>
      </c>
      <c r="EH29" s="111">
        <f t="shared" si="21"/>
        <v>0</v>
      </c>
      <c r="EI29" s="111">
        <f t="shared" si="21"/>
        <v>0</v>
      </c>
      <c r="EJ29" s="111">
        <f t="shared" si="21"/>
        <v>0</v>
      </c>
      <c r="EK29" s="111">
        <f t="shared" si="21"/>
        <v>0</v>
      </c>
      <c r="EL29" s="111">
        <f t="shared" si="21"/>
        <v>0</v>
      </c>
      <c r="EM29" s="111">
        <f t="shared" si="21"/>
        <v>0</v>
      </c>
      <c r="EN29" s="111">
        <f t="shared" si="21"/>
        <v>0</v>
      </c>
      <c r="EO29" s="111">
        <f t="shared" si="21"/>
        <v>0</v>
      </c>
      <c r="EP29" s="111">
        <f t="shared" si="21"/>
        <v>0</v>
      </c>
      <c r="EQ29" s="111">
        <f t="shared" si="21"/>
        <v>0</v>
      </c>
      <c r="ER29" s="111">
        <f t="shared" si="21"/>
        <v>0</v>
      </c>
      <c r="ES29" s="111">
        <f t="shared" si="21"/>
        <v>0</v>
      </c>
      <c r="ET29" s="111">
        <f t="shared" si="21"/>
        <v>0</v>
      </c>
      <c r="EU29" s="111">
        <f t="shared" si="21"/>
        <v>0</v>
      </c>
      <c r="EV29" s="111">
        <f t="shared" si="21"/>
        <v>0</v>
      </c>
      <c r="EW29" s="111">
        <f t="shared" si="21"/>
        <v>0</v>
      </c>
      <c r="EX29" s="111">
        <f t="shared" si="21"/>
        <v>0</v>
      </c>
      <c r="EY29" s="111">
        <f t="shared" si="21"/>
        <v>0</v>
      </c>
      <c r="EZ29" s="111">
        <f t="shared" si="21"/>
        <v>0</v>
      </c>
      <c r="FA29" s="111">
        <f t="shared" si="21"/>
        <v>0</v>
      </c>
      <c r="FB29" s="111">
        <f t="shared" si="21"/>
        <v>0</v>
      </c>
      <c r="FC29" s="111">
        <f t="shared" si="21"/>
        <v>0</v>
      </c>
      <c r="FD29" s="111">
        <f t="shared" si="21"/>
        <v>0</v>
      </c>
      <c r="FE29" s="111">
        <f t="shared" si="21"/>
        <v>0</v>
      </c>
      <c r="FF29" s="111">
        <f t="shared" si="21"/>
        <v>0</v>
      </c>
      <c r="FG29" s="111">
        <f t="shared" si="21"/>
        <v>0</v>
      </c>
      <c r="FH29" s="111">
        <f t="shared" si="21"/>
        <v>0</v>
      </c>
      <c r="FI29" s="111">
        <f t="shared" si="21"/>
        <v>0</v>
      </c>
      <c r="FJ29" s="111">
        <f t="shared" si="21"/>
        <v>0</v>
      </c>
      <c r="FK29" s="111">
        <f t="shared" si="21"/>
        <v>0</v>
      </c>
      <c r="FL29" s="111">
        <f t="shared" si="21"/>
        <v>0</v>
      </c>
      <c r="FM29" s="111">
        <f t="shared" si="21"/>
        <v>0</v>
      </c>
      <c r="FN29" s="111">
        <f t="shared" si="21"/>
        <v>0</v>
      </c>
      <c r="FO29" s="111">
        <f t="shared" si="21"/>
        <v>0</v>
      </c>
      <c r="FP29" s="111">
        <f t="shared" si="21"/>
        <v>0</v>
      </c>
      <c r="FQ29" s="111">
        <f t="shared" si="21"/>
        <v>0</v>
      </c>
      <c r="FR29" s="111">
        <f t="shared" si="21"/>
        <v>0</v>
      </c>
      <c r="FS29" s="111">
        <f t="shared" si="21"/>
        <v>0</v>
      </c>
      <c r="FT29" s="111">
        <f t="shared" si="21"/>
        <v>0</v>
      </c>
      <c r="FU29" s="111">
        <f t="shared" si="21"/>
        <v>0</v>
      </c>
      <c r="FV29" s="111">
        <f t="shared" si="21"/>
        <v>0</v>
      </c>
      <c r="FW29" s="111">
        <f t="shared" si="21"/>
        <v>0</v>
      </c>
      <c r="FX29" s="111">
        <f t="shared" si="21"/>
        <v>0</v>
      </c>
      <c r="FY29" s="111">
        <f t="shared" si="21"/>
        <v>0</v>
      </c>
      <c r="FZ29" s="111">
        <f t="shared" si="21"/>
        <v>0</v>
      </c>
      <c r="GA29" s="111">
        <f t="shared" si="21"/>
        <v>0</v>
      </c>
      <c r="GB29" s="111">
        <f t="shared" ref="GB29:IM29" si="22">IF(ISBLANK(GB23),0,SUM(GB25:GB27))</f>
        <v>0</v>
      </c>
      <c r="GC29" s="111">
        <f t="shared" si="22"/>
        <v>0</v>
      </c>
      <c r="GD29" s="111">
        <f t="shared" si="22"/>
        <v>0</v>
      </c>
      <c r="GE29" s="111">
        <f t="shared" si="22"/>
        <v>0</v>
      </c>
      <c r="GF29" s="111">
        <f t="shared" si="22"/>
        <v>0</v>
      </c>
      <c r="GG29" s="111">
        <f t="shared" si="22"/>
        <v>0</v>
      </c>
      <c r="GH29" s="111">
        <f t="shared" si="22"/>
        <v>0</v>
      </c>
      <c r="GI29" s="111">
        <f t="shared" si="22"/>
        <v>0</v>
      </c>
      <c r="GJ29" s="111">
        <f t="shared" si="22"/>
        <v>0</v>
      </c>
      <c r="GK29" s="111">
        <f t="shared" si="22"/>
        <v>0</v>
      </c>
      <c r="GL29" s="111">
        <f t="shared" si="22"/>
        <v>0</v>
      </c>
      <c r="GM29" s="111">
        <f t="shared" si="22"/>
        <v>0</v>
      </c>
      <c r="GN29" s="111">
        <f t="shared" si="22"/>
        <v>0</v>
      </c>
      <c r="GO29" s="111">
        <f t="shared" si="22"/>
        <v>0</v>
      </c>
      <c r="GP29" s="111">
        <f t="shared" si="22"/>
        <v>0</v>
      </c>
      <c r="GQ29" s="111">
        <f t="shared" si="22"/>
        <v>0</v>
      </c>
      <c r="GR29" s="111">
        <f t="shared" si="22"/>
        <v>0</v>
      </c>
      <c r="GS29" s="111">
        <f t="shared" si="22"/>
        <v>0</v>
      </c>
      <c r="GT29" s="111">
        <f t="shared" si="22"/>
        <v>0</v>
      </c>
      <c r="GU29" s="111">
        <f t="shared" si="22"/>
        <v>0</v>
      </c>
      <c r="GV29" s="111">
        <f t="shared" si="22"/>
        <v>0</v>
      </c>
      <c r="GW29" s="111">
        <f t="shared" si="22"/>
        <v>0</v>
      </c>
      <c r="GX29" s="111">
        <f t="shared" si="22"/>
        <v>0</v>
      </c>
      <c r="GY29" s="111">
        <f t="shared" si="22"/>
        <v>0</v>
      </c>
      <c r="GZ29" s="111">
        <f t="shared" si="22"/>
        <v>0</v>
      </c>
      <c r="HA29" s="111">
        <f t="shared" si="22"/>
        <v>0</v>
      </c>
      <c r="HB29" s="111">
        <f t="shared" si="22"/>
        <v>0</v>
      </c>
      <c r="HC29" s="111">
        <f t="shared" si="22"/>
        <v>0</v>
      </c>
      <c r="HD29" s="111">
        <f t="shared" si="22"/>
        <v>0</v>
      </c>
      <c r="HE29" s="111">
        <f t="shared" si="22"/>
        <v>0</v>
      </c>
      <c r="HF29" s="111">
        <f t="shared" si="22"/>
        <v>0</v>
      </c>
      <c r="HG29" s="111">
        <f t="shared" si="22"/>
        <v>0</v>
      </c>
      <c r="HH29" s="111">
        <f t="shared" si="22"/>
        <v>0</v>
      </c>
      <c r="HI29" s="111">
        <f t="shared" si="22"/>
        <v>0</v>
      </c>
      <c r="HJ29" s="111">
        <f t="shared" si="22"/>
        <v>0</v>
      </c>
      <c r="HK29" s="111">
        <f t="shared" si="22"/>
        <v>0</v>
      </c>
      <c r="HL29" s="111">
        <f t="shared" si="22"/>
        <v>0</v>
      </c>
      <c r="HM29" s="111">
        <f t="shared" si="22"/>
        <v>0</v>
      </c>
      <c r="HN29" s="111">
        <f t="shared" si="22"/>
        <v>0</v>
      </c>
      <c r="HO29" s="111">
        <f t="shared" si="22"/>
        <v>0</v>
      </c>
      <c r="HP29" s="111">
        <f t="shared" si="22"/>
        <v>0</v>
      </c>
      <c r="HQ29" s="111">
        <f t="shared" si="22"/>
        <v>0</v>
      </c>
      <c r="HR29" s="111">
        <f t="shared" si="22"/>
        <v>0</v>
      </c>
      <c r="HS29" s="111">
        <f t="shared" si="22"/>
        <v>0</v>
      </c>
      <c r="HT29" s="111">
        <f t="shared" si="22"/>
        <v>0</v>
      </c>
      <c r="HU29" s="111">
        <f t="shared" si="22"/>
        <v>0</v>
      </c>
      <c r="HV29" s="111">
        <f t="shared" si="22"/>
        <v>0</v>
      </c>
      <c r="HW29" s="111">
        <f t="shared" si="22"/>
        <v>0</v>
      </c>
      <c r="HX29" s="111">
        <f t="shared" si="22"/>
        <v>0</v>
      </c>
      <c r="HY29" s="111">
        <f t="shared" si="22"/>
        <v>0</v>
      </c>
      <c r="HZ29" s="111">
        <f t="shared" si="22"/>
        <v>0</v>
      </c>
      <c r="IA29" s="111">
        <f t="shared" si="22"/>
        <v>0</v>
      </c>
      <c r="IB29" s="111">
        <f t="shared" si="22"/>
        <v>0</v>
      </c>
      <c r="IC29" s="111">
        <f t="shared" si="22"/>
        <v>0</v>
      </c>
      <c r="ID29" s="111">
        <f t="shared" si="22"/>
        <v>0</v>
      </c>
      <c r="IE29" s="111">
        <f t="shared" si="22"/>
        <v>0</v>
      </c>
      <c r="IF29" s="111">
        <f t="shared" si="22"/>
        <v>0</v>
      </c>
      <c r="IG29" s="111">
        <f t="shared" si="22"/>
        <v>0</v>
      </c>
      <c r="IH29" s="111">
        <f t="shared" si="22"/>
        <v>0</v>
      </c>
      <c r="II29" s="111">
        <f t="shared" si="22"/>
        <v>0</v>
      </c>
      <c r="IJ29" s="111">
        <f t="shared" si="22"/>
        <v>0</v>
      </c>
      <c r="IK29" s="111">
        <f t="shared" si="22"/>
        <v>0</v>
      </c>
      <c r="IL29" s="111">
        <f t="shared" si="22"/>
        <v>0</v>
      </c>
      <c r="IM29" s="111">
        <f t="shared" si="22"/>
        <v>0</v>
      </c>
      <c r="IN29" s="111">
        <f t="shared" ref="IN29:IZ29" si="23">IF(ISBLANK(IN23),0,SUM(IN25:IN27))</f>
        <v>0</v>
      </c>
      <c r="IO29" s="111">
        <f t="shared" si="23"/>
        <v>0</v>
      </c>
      <c r="IP29" s="111">
        <f t="shared" si="23"/>
        <v>0</v>
      </c>
      <c r="IQ29" s="111">
        <f t="shared" si="23"/>
        <v>0</v>
      </c>
      <c r="IR29" s="111">
        <f t="shared" si="23"/>
        <v>0</v>
      </c>
      <c r="IS29" s="111">
        <f t="shared" si="23"/>
        <v>0</v>
      </c>
      <c r="IT29" s="111">
        <f t="shared" si="23"/>
        <v>0</v>
      </c>
      <c r="IU29" s="111">
        <f t="shared" si="23"/>
        <v>0</v>
      </c>
      <c r="IV29" s="111">
        <f t="shared" si="23"/>
        <v>0</v>
      </c>
      <c r="IW29" s="111">
        <f t="shared" si="23"/>
        <v>0</v>
      </c>
      <c r="IX29" s="111">
        <f t="shared" si="23"/>
        <v>0</v>
      </c>
      <c r="IY29" s="111">
        <f t="shared" si="23"/>
        <v>0</v>
      </c>
      <c r="IZ29" s="111">
        <f t="shared" si="23"/>
        <v>0</v>
      </c>
    </row>
    <row r="30" spans="1:260" s="114" customFormat="1" ht="12.75" customHeight="1" x14ac:dyDescent="0.25">
      <c r="A30" s="179">
        <v>335</v>
      </c>
      <c r="B30" s="109"/>
      <c r="C30" s="110" t="s">
        <v>376</v>
      </c>
      <c r="D30" s="113">
        <f>IF(ISBLANK(D18),0,(D29/D18/10))</f>
        <v>15.241982507288631</v>
      </c>
      <c r="E30" s="113">
        <f t="shared" ref="E30:BP30" si="24">IF(ISBLANK(E18),0,(E29/E18/10))</f>
        <v>16.19047619047619</v>
      </c>
      <c r="F30" s="113">
        <f t="shared" si="24"/>
        <v>16</v>
      </c>
      <c r="G30" s="113">
        <f t="shared" si="24"/>
        <v>18.929292929292927</v>
      </c>
      <c r="H30" s="113">
        <f t="shared" si="24"/>
        <v>18.830188679245282</v>
      </c>
      <c r="I30" s="113">
        <f t="shared" si="24"/>
        <v>18.924092409240927</v>
      </c>
      <c r="J30" s="113">
        <f t="shared" si="24"/>
        <v>18.896755162241892</v>
      </c>
      <c r="K30" s="113">
        <f t="shared" si="24"/>
        <v>18.863636363636363</v>
      </c>
      <c r="L30" s="113">
        <f t="shared" si="24"/>
        <v>18.883333333333333</v>
      </c>
      <c r="M30" s="113">
        <f t="shared" si="24"/>
        <v>18.666666666666668</v>
      </c>
      <c r="N30" s="113">
        <f t="shared" si="24"/>
        <v>18.666666666666668</v>
      </c>
      <c r="O30" s="113">
        <f t="shared" si="24"/>
        <v>19.5</v>
      </c>
      <c r="P30" s="113">
        <f t="shared" si="24"/>
        <v>18.666666666666664</v>
      </c>
      <c r="Q30" s="113">
        <f t="shared" si="24"/>
        <v>18.830188679245282</v>
      </c>
      <c r="R30" s="113">
        <f t="shared" si="24"/>
        <v>19.5</v>
      </c>
      <c r="S30" s="113">
        <f t="shared" si="24"/>
        <v>19.771428571428572</v>
      </c>
      <c r="T30" s="113">
        <f t="shared" si="24"/>
        <v>18.583690987124463</v>
      </c>
      <c r="U30" s="113">
        <f t="shared" si="24"/>
        <v>15.416666666666666</v>
      </c>
      <c r="V30" s="113">
        <f t="shared" si="24"/>
        <v>19</v>
      </c>
      <c r="W30" s="113">
        <f t="shared" si="24"/>
        <v>18.666666666666664</v>
      </c>
      <c r="X30" s="113">
        <f t="shared" si="24"/>
        <v>19.5</v>
      </c>
      <c r="Y30" s="113">
        <f t="shared" si="24"/>
        <v>17.516339869281047</v>
      </c>
      <c r="Z30" s="113">
        <f t="shared" si="24"/>
        <v>18.96551724137931</v>
      </c>
      <c r="AA30" s="113">
        <f t="shared" si="24"/>
        <v>19.5</v>
      </c>
      <c r="AB30" s="113">
        <f t="shared" si="24"/>
        <v>19.12698412698413</v>
      </c>
      <c r="AC30" s="113">
        <f t="shared" si="24"/>
        <v>19.454545454545453</v>
      </c>
      <c r="AD30" s="113">
        <f t="shared" si="24"/>
        <v>19.027777777777775</v>
      </c>
      <c r="AE30" s="113">
        <f t="shared" si="24"/>
        <v>20.363636363636363</v>
      </c>
      <c r="AF30" s="113">
        <f t="shared" si="24"/>
        <v>0</v>
      </c>
      <c r="AG30" s="113">
        <f t="shared" si="24"/>
        <v>0</v>
      </c>
      <c r="AH30" s="113">
        <f t="shared" si="24"/>
        <v>0</v>
      </c>
      <c r="AI30" s="113">
        <f t="shared" si="24"/>
        <v>0</v>
      </c>
      <c r="AJ30" s="113">
        <f t="shared" si="24"/>
        <v>0</v>
      </c>
      <c r="AK30" s="113">
        <f t="shared" si="24"/>
        <v>0</v>
      </c>
      <c r="AL30" s="113">
        <f t="shared" si="24"/>
        <v>0</v>
      </c>
      <c r="AM30" s="113">
        <f t="shared" si="24"/>
        <v>0</v>
      </c>
      <c r="AN30" s="113">
        <f t="shared" si="24"/>
        <v>0</v>
      </c>
      <c r="AO30" s="113">
        <f t="shared" si="24"/>
        <v>0</v>
      </c>
      <c r="AP30" s="113">
        <f t="shared" si="24"/>
        <v>0</v>
      </c>
      <c r="AQ30" s="113">
        <f t="shared" si="24"/>
        <v>0</v>
      </c>
      <c r="AR30" s="113">
        <f t="shared" si="24"/>
        <v>0</v>
      </c>
      <c r="AS30" s="113">
        <f t="shared" si="24"/>
        <v>0</v>
      </c>
      <c r="AT30" s="113">
        <f t="shared" si="24"/>
        <v>0</v>
      </c>
      <c r="AU30" s="113">
        <f t="shared" si="24"/>
        <v>0</v>
      </c>
      <c r="AV30" s="113">
        <f t="shared" si="24"/>
        <v>0</v>
      </c>
      <c r="AW30" s="113">
        <f t="shared" si="24"/>
        <v>0</v>
      </c>
      <c r="AX30" s="113">
        <f t="shared" si="24"/>
        <v>0</v>
      </c>
      <c r="AY30" s="113">
        <f t="shared" si="24"/>
        <v>0</v>
      </c>
      <c r="AZ30" s="113">
        <f t="shared" si="24"/>
        <v>0</v>
      </c>
      <c r="BA30" s="113">
        <f t="shared" si="24"/>
        <v>0</v>
      </c>
      <c r="BB30" s="113">
        <f t="shared" si="24"/>
        <v>0</v>
      </c>
      <c r="BC30" s="113">
        <f t="shared" si="24"/>
        <v>0</v>
      </c>
      <c r="BD30" s="113">
        <f t="shared" si="24"/>
        <v>0</v>
      </c>
      <c r="BE30" s="113">
        <f t="shared" si="24"/>
        <v>0</v>
      </c>
      <c r="BF30" s="113">
        <f t="shared" si="24"/>
        <v>0</v>
      </c>
      <c r="BG30" s="113">
        <f t="shared" si="24"/>
        <v>0</v>
      </c>
      <c r="BH30" s="113">
        <f t="shared" si="24"/>
        <v>0</v>
      </c>
      <c r="BI30" s="113">
        <f t="shared" si="24"/>
        <v>0</v>
      </c>
      <c r="BJ30" s="113">
        <f t="shared" si="24"/>
        <v>0</v>
      </c>
      <c r="BK30" s="113">
        <f t="shared" si="24"/>
        <v>0</v>
      </c>
      <c r="BL30" s="113">
        <f t="shared" si="24"/>
        <v>0</v>
      </c>
      <c r="BM30" s="113">
        <f t="shared" si="24"/>
        <v>0</v>
      </c>
      <c r="BN30" s="113">
        <f t="shared" si="24"/>
        <v>0</v>
      </c>
      <c r="BO30" s="113">
        <f t="shared" si="24"/>
        <v>0</v>
      </c>
      <c r="BP30" s="113">
        <f t="shared" si="24"/>
        <v>0</v>
      </c>
      <c r="BQ30" s="113">
        <f t="shared" ref="BQ30:EB30" si="25">IF(ISBLANK(BQ18),0,(BQ29/BQ18/10))</f>
        <v>0</v>
      </c>
      <c r="BR30" s="113">
        <f t="shared" si="25"/>
        <v>0</v>
      </c>
      <c r="BS30" s="113">
        <f t="shared" si="25"/>
        <v>0</v>
      </c>
      <c r="BT30" s="113">
        <f t="shared" si="25"/>
        <v>0</v>
      </c>
      <c r="BU30" s="113">
        <f t="shared" si="25"/>
        <v>0</v>
      </c>
      <c r="BV30" s="113">
        <f t="shared" si="25"/>
        <v>0</v>
      </c>
      <c r="BW30" s="113">
        <f t="shared" si="25"/>
        <v>0</v>
      </c>
      <c r="BX30" s="113">
        <f t="shared" si="25"/>
        <v>0</v>
      </c>
      <c r="BY30" s="113">
        <f t="shared" si="25"/>
        <v>0</v>
      </c>
      <c r="BZ30" s="113">
        <f t="shared" si="25"/>
        <v>0</v>
      </c>
      <c r="CA30" s="113">
        <f t="shared" si="25"/>
        <v>0</v>
      </c>
      <c r="CB30" s="113">
        <f t="shared" si="25"/>
        <v>0</v>
      </c>
      <c r="CC30" s="113">
        <f t="shared" si="25"/>
        <v>0</v>
      </c>
      <c r="CD30" s="113">
        <f t="shared" si="25"/>
        <v>0</v>
      </c>
      <c r="CE30" s="113">
        <f t="shared" si="25"/>
        <v>0</v>
      </c>
      <c r="CF30" s="113">
        <f t="shared" si="25"/>
        <v>0</v>
      </c>
      <c r="CG30" s="113">
        <f t="shared" si="25"/>
        <v>0</v>
      </c>
      <c r="CH30" s="113">
        <f t="shared" si="25"/>
        <v>0</v>
      </c>
      <c r="CI30" s="113">
        <f t="shared" si="25"/>
        <v>0</v>
      </c>
      <c r="CJ30" s="113">
        <f t="shared" si="25"/>
        <v>0</v>
      </c>
      <c r="CK30" s="113">
        <f t="shared" si="25"/>
        <v>0</v>
      </c>
      <c r="CL30" s="113">
        <f t="shared" si="25"/>
        <v>0</v>
      </c>
      <c r="CM30" s="113">
        <f t="shared" si="25"/>
        <v>0</v>
      </c>
      <c r="CN30" s="113">
        <f t="shared" si="25"/>
        <v>0</v>
      </c>
      <c r="CO30" s="113">
        <f t="shared" si="25"/>
        <v>0</v>
      </c>
      <c r="CP30" s="113">
        <f t="shared" si="25"/>
        <v>0</v>
      </c>
      <c r="CQ30" s="113">
        <f t="shared" si="25"/>
        <v>0</v>
      </c>
      <c r="CR30" s="113">
        <f t="shared" si="25"/>
        <v>0</v>
      </c>
      <c r="CS30" s="113">
        <f t="shared" si="25"/>
        <v>0</v>
      </c>
      <c r="CT30" s="113">
        <f t="shared" si="25"/>
        <v>0</v>
      </c>
      <c r="CU30" s="113">
        <f t="shared" si="25"/>
        <v>0</v>
      </c>
      <c r="CV30" s="113">
        <f t="shared" si="25"/>
        <v>0</v>
      </c>
      <c r="CW30" s="113">
        <f t="shared" si="25"/>
        <v>0</v>
      </c>
      <c r="CX30" s="113">
        <f t="shared" si="25"/>
        <v>0</v>
      </c>
      <c r="CY30" s="113">
        <f t="shared" si="25"/>
        <v>0</v>
      </c>
      <c r="CZ30" s="113">
        <f t="shared" si="25"/>
        <v>0</v>
      </c>
      <c r="DA30" s="113">
        <f t="shared" si="25"/>
        <v>0</v>
      </c>
      <c r="DB30" s="113">
        <f t="shared" si="25"/>
        <v>0</v>
      </c>
      <c r="DC30" s="113">
        <f t="shared" si="25"/>
        <v>0</v>
      </c>
      <c r="DD30" s="113">
        <f t="shared" si="25"/>
        <v>0</v>
      </c>
      <c r="DE30" s="113">
        <f t="shared" si="25"/>
        <v>0</v>
      </c>
      <c r="DF30" s="113">
        <f t="shared" si="25"/>
        <v>0</v>
      </c>
      <c r="DG30" s="113">
        <f t="shared" si="25"/>
        <v>0</v>
      </c>
      <c r="DH30" s="113">
        <f t="shared" si="25"/>
        <v>0</v>
      </c>
      <c r="DI30" s="113">
        <f t="shared" si="25"/>
        <v>0</v>
      </c>
      <c r="DJ30" s="113">
        <f t="shared" si="25"/>
        <v>0</v>
      </c>
      <c r="DK30" s="113">
        <f t="shared" si="25"/>
        <v>0</v>
      </c>
      <c r="DL30" s="113">
        <f t="shared" si="25"/>
        <v>0</v>
      </c>
      <c r="DM30" s="113">
        <f t="shared" si="25"/>
        <v>0</v>
      </c>
      <c r="DN30" s="113">
        <f t="shared" si="25"/>
        <v>0</v>
      </c>
      <c r="DO30" s="113">
        <f t="shared" si="25"/>
        <v>0</v>
      </c>
      <c r="DP30" s="113">
        <f t="shared" si="25"/>
        <v>0</v>
      </c>
      <c r="DQ30" s="113">
        <f t="shared" si="25"/>
        <v>0</v>
      </c>
      <c r="DR30" s="113">
        <f t="shared" si="25"/>
        <v>0</v>
      </c>
      <c r="DS30" s="113">
        <f t="shared" si="25"/>
        <v>0</v>
      </c>
      <c r="DT30" s="113">
        <f t="shared" si="25"/>
        <v>0</v>
      </c>
      <c r="DU30" s="113">
        <f t="shared" si="25"/>
        <v>0</v>
      </c>
      <c r="DV30" s="113">
        <f t="shared" si="25"/>
        <v>0</v>
      </c>
      <c r="DW30" s="113">
        <f t="shared" si="25"/>
        <v>0</v>
      </c>
      <c r="DX30" s="113">
        <f t="shared" si="25"/>
        <v>0</v>
      </c>
      <c r="DY30" s="113">
        <f t="shared" si="25"/>
        <v>0</v>
      </c>
      <c r="DZ30" s="113">
        <f t="shared" si="25"/>
        <v>0</v>
      </c>
      <c r="EA30" s="113">
        <f t="shared" si="25"/>
        <v>0</v>
      </c>
      <c r="EB30" s="113">
        <f t="shared" si="25"/>
        <v>0</v>
      </c>
      <c r="EC30" s="113">
        <f t="shared" ref="EC30:GA30" si="26">IF(ISBLANK(EC18),0,(EC29/EC18/10))</f>
        <v>0</v>
      </c>
      <c r="ED30" s="113">
        <f t="shared" si="26"/>
        <v>0</v>
      </c>
      <c r="EE30" s="113">
        <f t="shared" si="26"/>
        <v>0</v>
      </c>
      <c r="EF30" s="113">
        <f t="shared" si="26"/>
        <v>0</v>
      </c>
      <c r="EG30" s="113">
        <f t="shared" si="26"/>
        <v>0</v>
      </c>
      <c r="EH30" s="113">
        <f t="shared" si="26"/>
        <v>0</v>
      </c>
      <c r="EI30" s="113">
        <f t="shared" si="26"/>
        <v>0</v>
      </c>
      <c r="EJ30" s="113">
        <f t="shared" si="26"/>
        <v>0</v>
      </c>
      <c r="EK30" s="113">
        <f t="shared" si="26"/>
        <v>0</v>
      </c>
      <c r="EL30" s="113">
        <f t="shared" si="26"/>
        <v>0</v>
      </c>
      <c r="EM30" s="113">
        <f t="shared" si="26"/>
        <v>0</v>
      </c>
      <c r="EN30" s="113">
        <f t="shared" si="26"/>
        <v>0</v>
      </c>
      <c r="EO30" s="113">
        <f t="shared" si="26"/>
        <v>0</v>
      </c>
      <c r="EP30" s="113">
        <f t="shared" si="26"/>
        <v>0</v>
      </c>
      <c r="EQ30" s="113">
        <f t="shared" si="26"/>
        <v>0</v>
      </c>
      <c r="ER30" s="113">
        <f t="shared" si="26"/>
        <v>0</v>
      </c>
      <c r="ES30" s="113">
        <f t="shared" si="26"/>
        <v>0</v>
      </c>
      <c r="ET30" s="113">
        <f t="shared" si="26"/>
        <v>0</v>
      </c>
      <c r="EU30" s="113">
        <f t="shared" si="26"/>
        <v>0</v>
      </c>
      <c r="EV30" s="113">
        <f t="shared" si="26"/>
        <v>0</v>
      </c>
      <c r="EW30" s="113">
        <f t="shared" si="26"/>
        <v>0</v>
      </c>
      <c r="EX30" s="113">
        <f t="shared" si="26"/>
        <v>0</v>
      </c>
      <c r="EY30" s="113">
        <f t="shared" si="26"/>
        <v>0</v>
      </c>
      <c r="EZ30" s="113">
        <f t="shared" si="26"/>
        <v>0</v>
      </c>
      <c r="FA30" s="113">
        <f t="shared" si="26"/>
        <v>0</v>
      </c>
      <c r="FB30" s="113">
        <f t="shared" si="26"/>
        <v>0</v>
      </c>
      <c r="FC30" s="113">
        <f t="shared" si="26"/>
        <v>0</v>
      </c>
      <c r="FD30" s="113">
        <f t="shared" si="26"/>
        <v>0</v>
      </c>
      <c r="FE30" s="113">
        <f t="shared" si="26"/>
        <v>0</v>
      </c>
      <c r="FF30" s="113">
        <f t="shared" si="26"/>
        <v>0</v>
      </c>
      <c r="FG30" s="113">
        <f t="shared" si="26"/>
        <v>0</v>
      </c>
      <c r="FH30" s="113">
        <f t="shared" si="26"/>
        <v>0</v>
      </c>
      <c r="FI30" s="113">
        <f t="shared" si="26"/>
        <v>0</v>
      </c>
      <c r="FJ30" s="113">
        <f t="shared" si="26"/>
        <v>0</v>
      </c>
      <c r="FK30" s="113">
        <f t="shared" si="26"/>
        <v>0</v>
      </c>
      <c r="FL30" s="113">
        <f t="shared" si="26"/>
        <v>0</v>
      </c>
      <c r="FM30" s="113">
        <f t="shared" si="26"/>
        <v>0</v>
      </c>
      <c r="FN30" s="113">
        <f t="shared" si="26"/>
        <v>0</v>
      </c>
      <c r="FO30" s="113">
        <f t="shared" si="26"/>
        <v>0</v>
      </c>
      <c r="FP30" s="113">
        <f t="shared" si="26"/>
        <v>0</v>
      </c>
      <c r="FQ30" s="113">
        <f t="shared" si="26"/>
        <v>0</v>
      </c>
      <c r="FR30" s="113">
        <f t="shared" si="26"/>
        <v>0</v>
      </c>
      <c r="FS30" s="113">
        <f t="shared" si="26"/>
        <v>0</v>
      </c>
      <c r="FT30" s="113">
        <f t="shared" si="26"/>
        <v>0</v>
      </c>
      <c r="FU30" s="113">
        <f t="shared" si="26"/>
        <v>0</v>
      </c>
      <c r="FV30" s="113">
        <f t="shared" si="26"/>
        <v>0</v>
      </c>
      <c r="FW30" s="113">
        <f t="shared" si="26"/>
        <v>0</v>
      </c>
      <c r="FX30" s="113">
        <f t="shared" si="26"/>
        <v>0</v>
      </c>
      <c r="FY30" s="113">
        <f t="shared" si="26"/>
        <v>0</v>
      </c>
      <c r="FZ30" s="113">
        <f t="shared" si="26"/>
        <v>0</v>
      </c>
      <c r="GA30" s="113">
        <f t="shared" si="26"/>
        <v>0</v>
      </c>
      <c r="GB30" s="113">
        <f t="shared" ref="GB30:IM30" si="27">IF(ISBLANK(GB18),0,(GB29/GB18/10))</f>
        <v>0</v>
      </c>
      <c r="GC30" s="113">
        <f t="shared" si="27"/>
        <v>0</v>
      </c>
      <c r="GD30" s="113">
        <f t="shared" si="27"/>
        <v>0</v>
      </c>
      <c r="GE30" s="113">
        <f t="shared" si="27"/>
        <v>0</v>
      </c>
      <c r="GF30" s="113">
        <f t="shared" si="27"/>
        <v>0</v>
      </c>
      <c r="GG30" s="113">
        <f t="shared" si="27"/>
        <v>0</v>
      </c>
      <c r="GH30" s="113">
        <f t="shared" si="27"/>
        <v>0</v>
      </c>
      <c r="GI30" s="113">
        <f t="shared" si="27"/>
        <v>0</v>
      </c>
      <c r="GJ30" s="113">
        <f t="shared" si="27"/>
        <v>0</v>
      </c>
      <c r="GK30" s="113">
        <f t="shared" si="27"/>
        <v>0</v>
      </c>
      <c r="GL30" s="113">
        <f t="shared" si="27"/>
        <v>0</v>
      </c>
      <c r="GM30" s="113">
        <f t="shared" si="27"/>
        <v>0</v>
      </c>
      <c r="GN30" s="113">
        <f t="shared" si="27"/>
        <v>0</v>
      </c>
      <c r="GO30" s="113">
        <f t="shared" si="27"/>
        <v>0</v>
      </c>
      <c r="GP30" s="113">
        <f t="shared" si="27"/>
        <v>0</v>
      </c>
      <c r="GQ30" s="113">
        <f t="shared" si="27"/>
        <v>0</v>
      </c>
      <c r="GR30" s="113">
        <f t="shared" si="27"/>
        <v>0</v>
      </c>
      <c r="GS30" s="113">
        <f t="shared" si="27"/>
        <v>0</v>
      </c>
      <c r="GT30" s="113">
        <f t="shared" si="27"/>
        <v>0</v>
      </c>
      <c r="GU30" s="113">
        <f t="shared" si="27"/>
        <v>0</v>
      </c>
      <c r="GV30" s="113">
        <f t="shared" si="27"/>
        <v>0</v>
      </c>
      <c r="GW30" s="113">
        <f t="shared" si="27"/>
        <v>0</v>
      </c>
      <c r="GX30" s="113">
        <f t="shared" si="27"/>
        <v>0</v>
      </c>
      <c r="GY30" s="113">
        <f t="shared" si="27"/>
        <v>0</v>
      </c>
      <c r="GZ30" s="113">
        <f t="shared" si="27"/>
        <v>0</v>
      </c>
      <c r="HA30" s="113">
        <f t="shared" si="27"/>
        <v>0</v>
      </c>
      <c r="HB30" s="113">
        <f t="shared" si="27"/>
        <v>0</v>
      </c>
      <c r="HC30" s="113">
        <f t="shared" si="27"/>
        <v>0</v>
      </c>
      <c r="HD30" s="113">
        <f t="shared" si="27"/>
        <v>0</v>
      </c>
      <c r="HE30" s="113">
        <f t="shared" si="27"/>
        <v>0</v>
      </c>
      <c r="HF30" s="113">
        <f t="shared" si="27"/>
        <v>0</v>
      </c>
      <c r="HG30" s="113">
        <f t="shared" si="27"/>
        <v>0</v>
      </c>
      <c r="HH30" s="113">
        <f t="shared" si="27"/>
        <v>0</v>
      </c>
      <c r="HI30" s="113">
        <f t="shared" si="27"/>
        <v>0</v>
      </c>
      <c r="HJ30" s="113">
        <f t="shared" si="27"/>
        <v>0</v>
      </c>
      <c r="HK30" s="113">
        <f t="shared" si="27"/>
        <v>0</v>
      </c>
      <c r="HL30" s="113">
        <f t="shared" si="27"/>
        <v>0</v>
      </c>
      <c r="HM30" s="113">
        <f t="shared" si="27"/>
        <v>0</v>
      </c>
      <c r="HN30" s="113">
        <f t="shared" si="27"/>
        <v>0</v>
      </c>
      <c r="HO30" s="113">
        <f t="shared" si="27"/>
        <v>0</v>
      </c>
      <c r="HP30" s="113">
        <f t="shared" si="27"/>
        <v>0</v>
      </c>
      <c r="HQ30" s="113">
        <f t="shared" si="27"/>
        <v>0</v>
      </c>
      <c r="HR30" s="113">
        <f t="shared" si="27"/>
        <v>0</v>
      </c>
      <c r="HS30" s="113">
        <f t="shared" si="27"/>
        <v>0</v>
      </c>
      <c r="HT30" s="113">
        <f t="shared" si="27"/>
        <v>0</v>
      </c>
      <c r="HU30" s="113">
        <f t="shared" si="27"/>
        <v>0</v>
      </c>
      <c r="HV30" s="113">
        <f t="shared" si="27"/>
        <v>0</v>
      </c>
      <c r="HW30" s="113">
        <f t="shared" si="27"/>
        <v>0</v>
      </c>
      <c r="HX30" s="113">
        <f t="shared" si="27"/>
        <v>0</v>
      </c>
      <c r="HY30" s="113">
        <f t="shared" si="27"/>
        <v>0</v>
      </c>
      <c r="HZ30" s="113">
        <f t="shared" si="27"/>
        <v>0</v>
      </c>
      <c r="IA30" s="113">
        <f t="shared" si="27"/>
        <v>0</v>
      </c>
      <c r="IB30" s="113">
        <f t="shared" si="27"/>
        <v>0</v>
      </c>
      <c r="IC30" s="113">
        <f t="shared" si="27"/>
        <v>0</v>
      </c>
      <c r="ID30" s="113">
        <f t="shared" si="27"/>
        <v>0</v>
      </c>
      <c r="IE30" s="113">
        <f t="shared" si="27"/>
        <v>0</v>
      </c>
      <c r="IF30" s="113">
        <f t="shared" si="27"/>
        <v>0</v>
      </c>
      <c r="IG30" s="113">
        <f t="shared" si="27"/>
        <v>0</v>
      </c>
      <c r="IH30" s="113">
        <f t="shared" si="27"/>
        <v>0</v>
      </c>
      <c r="II30" s="113">
        <f t="shared" si="27"/>
        <v>0</v>
      </c>
      <c r="IJ30" s="113">
        <f t="shared" si="27"/>
        <v>0</v>
      </c>
      <c r="IK30" s="113">
        <f t="shared" si="27"/>
        <v>0</v>
      </c>
      <c r="IL30" s="113">
        <f t="shared" si="27"/>
        <v>0</v>
      </c>
      <c r="IM30" s="113">
        <f t="shared" si="27"/>
        <v>0</v>
      </c>
      <c r="IN30" s="113">
        <f t="shared" ref="IN30:IZ30" si="28">IF(ISBLANK(IN18),0,(IN29/IN18/10))</f>
        <v>0</v>
      </c>
      <c r="IO30" s="113">
        <f t="shared" si="28"/>
        <v>0</v>
      </c>
      <c r="IP30" s="113">
        <f t="shared" si="28"/>
        <v>0</v>
      </c>
      <c r="IQ30" s="113">
        <f t="shared" si="28"/>
        <v>0</v>
      </c>
      <c r="IR30" s="113">
        <f t="shared" si="28"/>
        <v>0</v>
      </c>
      <c r="IS30" s="113">
        <f t="shared" si="28"/>
        <v>0</v>
      </c>
      <c r="IT30" s="113">
        <f t="shared" si="28"/>
        <v>0</v>
      </c>
      <c r="IU30" s="113">
        <f t="shared" si="28"/>
        <v>0</v>
      </c>
      <c r="IV30" s="113">
        <f t="shared" si="28"/>
        <v>0</v>
      </c>
      <c r="IW30" s="113">
        <f t="shared" si="28"/>
        <v>0</v>
      </c>
      <c r="IX30" s="113">
        <f t="shared" si="28"/>
        <v>0</v>
      </c>
      <c r="IY30" s="113">
        <f t="shared" si="28"/>
        <v>0</v>
      </c>
      <c r="IZ30" s="113">
        <f t="shared" si="28"/>
        <v>0</v>
      </c>
    </row>
    <row r="31" spans="1:260" ht="12.95" customHeight="1" x14ac:dyDescent="0.25">
      <c r="A31" s="309"/>
      <c r="B31" s="308"/>
      <c r="C31" s="308"/>
      <c r="D31" s="308"/>
      <c r="E31" s="308"/>
      <c r="F31" s="308"/>
      <c r="G31" s="308"/>
      <c r="H31" s="308"/>
      <c r="I31" s="308"/>
      <c r="J31" s="308"/>
      <c r="K31" s="308"/>
      <c r="L31" s="308"/>
      <c r="M31" s="308"/>
      <c r="N31" s="308"/>
      <c r="O31" s="308"/>
      <c r="P31" s="308"/>
      <c r="Q31" s="308"/>
      <c r="R31" s="308"/>
      <c r="S31" s="308"/>
      <c r="T31" s="308"/>
      <c r="U31" s="308"/>
      <c r="V31" s="308"/>
      <c r="W31" s="308"/>
      <c r="X31" s="308"/>
      <c r="Y31" s="308"/>
      <c r="Z31" s="308"/>
      <c r="AA31" s="308"/>
      <c r="AB31" s="308"/>
      <c r="AC31" s="308"/>
      <c r="AD31" s="308"/>
      <c r="AE31" s="308"/>
      <c r="AF31" s="308"/>
      <c r="AG31" s="308"/>
      <c r="AH31" s="308"/>
      <c r="AI31" s="308"/>
      <c r="AJ31" s="308"/>
      <c r="AK31" s="308"/>
      <c r="AL31" s="308"/>
      <c r="AM31" s="308"/>
      <c r="AN31" s="308"/>
      <c r="AO31" s="308"/>
      <c r="AP31" s="308"/>
      <c r="AQ31" s="308"/>
      <c r="AR31" s="308"/>
      <c r="AS31" s="308"/>
      <c r="AT31" s="308"/>
      <c r="AU31" s="308"/>
      <c r="AV31" s="308"/>
      <c r="AW31" s="308"/>
      <c r="AX31" s="308"/>
      <c r="AY31" s="308"/>
      <c r="AZ31" s="308"/>
      <c r="BA31" s="308"/>
      <c r="BB31" s="308"/>
      <c r="BC31" s="308"/>
      <c r="BD31" s="308"/>
      <c r="BE31" s="308"/>
      <c r="BF31" s="308"/>
      <c r="BG31" s="308"/>
      <c r="BH31" s="308"/>
      <c r="BI31" s="308"/>
      <c r="BJ31" s="308"/>
      <c r="BK31" s="308"/>
      <c r="BL31" s="308"/>
      <c r="BM31" s="308"/>
      <c r="BN31" s="308"/>
      <c r="BO31" s="308"/>
      <c r="BP31" s="308"/>
      <c r="BQ31" s="308"/>
      <c r="BR31" s="308"/>
      <c r="BS31" s="308"/>
      <c r="BT31" s="308"/>
      <c r="BU31" s="308"/>
      <c r="BV31" s="308"/>
      <c r="BW31" s="308"/>
      <c r="BX31" s="308"/>
      <c r="BY31" s="308"/>
      <c r="BZ31" s="308"/>
      <c r="CA31" s="308"/>
      <c r="CB31" s="308"/>
      <c r="CC31" s="308"/>
      <c r="CD31" s="308"/>
      <c r="CE31" s="308"/>
      <c r="CF31" s="308"/>
      <c r="CG31" s="308"/>
      <c r="CH31" s="308"/>
      <c r="CI31" s="308"/>
      <c r="CJ31" s="308"/>
      <c r="CK31" s="308"/>
      <c r="CL31" s="308"/>
      <c r="CM31" s="308"/>
      <c r="CN31" s="308"/>
      <c r="CO31" s="308"/>
      <c r="CP31" s="308"/>
      <c r="CQ31" s="308"/>
      <c r="CR31" s="308"/>
      <c r="CS31" s="308"/>
      <c r="CT31" s="308"/>
      <c r="CU31" s="308"/>
      <c r="CV31" s="308"/>
      <c r="CW31" s="308"/>
      <c r="CX31" s="308"/>
      <c r="CY31" s="308"/>
      <c r="CZ31" s="308"/>
      <c r="DA31" s="308"/>
      <c r="DB31" s="308"/>
      <c r="DC31" s="308"/>
      <c r="DD31" s="308"/>
      <c r="DE31" s="308"/>
      <c r="DF31" s="308"/>
      <c r="DG31" s="308"/>
      <c r="DH31" s="308"/>
      <c r="DI31" s="308"/>
      <c r="DJ31" s="308"/>
      <c r="DK31" s="308"/>
      <c r="DL31" s="308"/>
      <c r="DM31" s="308"/>
      <c r="DN31" s="308"/>
      <c r="DO31" s="308"/>
      <c r="DP31" s="308"/>
      <c r="DQ31" s="308"/>
      <c r="DR31" s="308"/>
      <c r="DS31" s="308"/>
      <c r="DT31" s="308"/>
      <c r="DU31" s="308"/>
      <c r="DV31" s="308"/>
      <c r="DW31" s="308"/>
      <c r="DX31" s="308"/>
      <c r="DY31" s="308"/>
      <c r="DZ31" s="308"/>
      <c r="EA31" s="308"/>
      <c r="EB31" s="308"/>
      <c r="EC31" s="308"/>
      <c r="ED31" s="308"/>
      <c r="EE31" s="308"/>
      <c r="EF31" s="308"/>
      <c r="EG31" s="308"/>
      <c r="EH31" s="308"/>
      <c r="EI31" s="308"/>
      <c r="EJ31" s="308"/>
      <c r="EK31" s="308"/>
      <c r="EL31" s="308"/>
      <c r="EM31" s="308"/>
      <c r="EN31" s="308"/>
      <c r="EO31" s="308"/>
      <c r="EP31" s="308"/>
      <c r="EQ31" s="308"/>
      <c r="ER31" s="308"/>
      <c r="ES31" s="308"/>
      <c r="ET31" s="308"/>
      <c r="EU31" s="308"/>
      <c r="EV31" s="308"/>
      <c r="EW31" s="308"/>
      <c r="EX31" s="308"/>
      <c r="EY31" s="308"/>
      <c r="EZ31" s="308"/>
      <c r="FA31" s="308"/>
      <c r="FB31" s="308"/>
      <c r="FC31" s="308"/>
      <c r="FD31" s="308"/>
      <c r="FE31" s="308"/>
      <c r="FF31" s="308"/>
      <c r="FG31" s="308"/>
      <c r="FH31" s="308"/>
      <c r="FI31" s="308"/>
      <c r="FJ31" s="308"/>
      <c r="FK31" s="308"/>
      <c r="FL31" s="308"/>
      <c r="FM31" s="308"/>
      <c r="FN31" s="308"/>
      <c r="FO31" s="308"/>
      <c r="FP31" s="308"/>
      <c r="FQ31" s="308"/>
      <c r="FR31" s="308"/>
      <c r="FS31" s="308"/>
      <c r="FT31" s="308"/>
      <c r="FU31" s="308"/>
      <c r="FV31" s="308"/>
      <c r="FW31" s="308"/>
      <c r="FX31" s="308"/>
      <c r="FY31" s="308"/>
      <c r="FZ31" s="308"/>
      <c r="GA31" s="308"/>
      <c r="GB31" s="112"/>
      <c r="GC31" s="308"/>
      <c r="GD31" s="308"/>
      <c r="GE31" s="308"/>
      <c r="GF31" s="308"/>
      <c r="GG31" s="308"/>
      <c r="GH31" s="308"/>
      <c r="GI31" s="308"/>
      <c r="GJ31" s="308"/>
      <c r="GK31" s="308"/>
      <c r="GL31" s="308"/>
      <c r="GM31" s="308"/>
      <c r="GN31" s="308"/>
      <c r="GO31" s="308"/>
      <c r="GP31" s="308"/>
      <c r="GQ31" s="308"/>
      <c r="GR31" s="308"/>
      <c r="GS31" s="308"/>
      <c r="GT31" s="308"/>
      <c r="GU31" s="308"/>
      <c r="GV31" s="308"/>
      <c r="GW31" s="308"/>
      <c r="GX31" s="308"/>
      <c r="GY31" s="308"/>
      <c r="GZ31" s="308"/>
      <c r="HA31" s="308"/>
      <c r="HB31" s="308"/>
      <c r="HC31" s="308"/>
      <c r="HD31" s="308"/>
      <c r="HE31" s="308"/>
      <c r="HF31" s="308"/>
      <c r="HG31" s="308"/>
      <c r="HH31" s="308"/>
      <c r="HI31" s="308"/>
      <c r="HJ31" s="308"/>
      <c r="HK31" s="308"/>
      <c r="HL31" s="308"/>
      <c r="HM31" s="308"/>
      <c r="HN31" s="308"/>
      <c r="HO31" s="308"/>
      <c r="HP31" s="308"/>
      <c r="HQ31" s="308"/>
      <c r="HR31" s="308"/>
      <c r="HS31" s="308"/>
      <c r="HT31" s="308"/>
      <c r="HU31" s="308"/>
      <c r="HV31" s="308"/>
      <c r="HW31" s="308"/>
      <c r="HX31" s="308"/>
      <c r="HY31" s="308"/>
      <c r="HZ31" s="308"/>
      <c r="IA31" s="308"/>
      <c r="IB31" s="308"/>
      <c r="IC31" s="308"/>
      <c r="ID31" s="308"/>
      <c r="IE31" s="308"/>
      <c r="IF31" s="308"/>
      <c r="IG31" s="308"/>
      <c r="IH31" s="308"/>
      <c r="II31" s="308"/>
      <c r="IJ31" s="308"/>
      <c r="IK31" s="308"/>
      <c r="IL31" s="308"/>
      <c r="IM31" s="308"/>
      <c r="IN31" s="308"/>
      <c r="IO31" s="308"/>
      <c r="IP31" s="308"/>
      <c r="IQ31" s="308"/>
      <c r="IR31" s="308"/>
      <c r="IS31" s="308"/>
      <c r="IT31" s="308"/>
      <c r="IU31" s="308"/>
      <c r="IV31" s="308"/>
      <c r="IW31" s="308"/>
      <c r="IX31" s="308"/>
      <c r="IY31" s="308"/>
      <c r="IZ31" s="308"/>
    </row>
    <row r="32" spans="1:260" ht="12.95" hidden="1" customHeight="1" x14ac:dyDescent="0.25">
      <c r="A32" s="309"/>
      <c r="B32" s="308"/>
      <c r="C32" s="308"/>
      <c r="D32" s="308"/>
      <c r="E32" s="308"/>
      <c r="F32" s="308"/>
      <c r="G32" s="308"/>
      <c r="H32" s="308"/>
      <c r="I32" s="308"/>
      <c r="J32" s="308"/>
      <c r="K32" s="308"/>
      <c r="L32" s="308"/>
      <c r="M32" s="308"/>
      <c r="N32" s="308"/>
      <c r="O32" s="308"/>
      <c r="P32" s="308"/>
      <c r="Q32" s="308"/>
      <c r="R32" s="308"/>
      <c r="S32" s="308"/>
      <c r="T32" s="308"/>
      <c r="U32" s="308"/>
      <c r="V32" s="308"/>
      <c r="W32" s="308"/>
      <c r="X32" s="308"/>
      <c r="Y32" s="308"/>
      <c r="Z32" s="308"/>
      <c r="AA32" s="308"/>
      <c r="AB32" s="308"/>
      <c r="AC32" s="308"/>
      <c r="AD32" s="308"/>
      <c r="AE32" s="308"/>
      <c r="AF32" s="308"/>
      <c r="AG32" s="308"/>
      <c r="AH32" s="308"/>
      <c r="AI32" s="308"/>
      <c r="AJ32" s="308"/>
      <c r="AK32" s="308"/>
      <c r="AL32" s="308"/>
      <c r="AM32" s="308"/>
      <c r="AN32" s="308"/>
      <c r="AO32" s="308"/>
      <c r="AP32" s="308"/>
      <c r="AQ32" s="308"/>
      <c r="AR32" s="308"/>
      <c r="AS32" s="308"/>
      <c r="AT32" s="308"/>
      <c r="AU32" s="308"/>
      <c r="AV32" s="308"/>
      <c r="AW32" s="308"/>
      <c r="AX32" s="308"/>
      <c r="AY32" s="308"/>
      <c r="AZ32" s="308"/>
      <c r="BA32" s="308"/>
      <c r="BB32" s="308"/>
      <c r="BC32" s="308"/>
      <c r="BD32" s="308"/>
      <c r="BE32" s="308"/>
      <c r="BF32" s="308"/>
      <c r="BG32" s="308"/>
      <c r="BH32" s="308"/>
      <c r="BI32" s="308"/>
      <c r="BJ32" s="308"/>
      <c r="BK32" s="308"/>
      <c r="BL32" s="308"/>
      <c r="BM32" s="308"/>
      <c r="BN32" s="308"/>
      <c r="BO32" s="308"/>
      <c r="BP32" s="308"/>
      <c r="BQ32" s="308"/>
      <c r="BR32" s="308"/>
      <c r="BS32" s="308"/>
      <c r="BT32" s="308"/>
      <c r="BU32" s="308"/>
      <c r="BV32" s="308"/>
      <c r="BW32" s="308"/>
      <c r="BX32" s="308"/>
      <c r="BY32" s="308"/>
      <c r="BZ32" s="308"/>
      <c r="CA32" s="308"/>
      <c r="CB32" s="308"/>
      <c r="CC32" s="308"/>
      <c r="CD32" s="308"/>
      <c r="CE32" s="308"/>
      <c r="CF32" s="308"/>
      <c r="CG32" s="308"/>
      <c r="CH32" s="308"/>
      <c r="CI32" s="308"/>
      <c r="CJ32" s="308"/>
      <c r="CK32" s="308"/>
      <c r="CL32" s="308"/>
      <c r="CM32" s="308"/>
      <c r="CN32" s="308"/>
      <c r="CO32" s="308"/>
      <c r="CP32" s="308"/>
      <c r="CQ32" s="308"/>
      <c r="CR32" s="308"/>
      <c r="CS32" s="308"/>
      <c r="CT32" s="308"/>
      <c r="CU32" s="308"/>
      <c r="CV32" s="308"/>
      <c r="CW32" s="308"/>
      <c r="CX32" s="308"/>
      <c r="CY32" s="308"/>
      <c r="CZ32" s="308"/>
      <c r="DA32" s="308"/>
      <c r="DB32" s="308"/>
      <c r="DC32" s="308"/>
      <c r="DD32" s="308"/>
      <c r="DE32" s="308"/>
      <c r="DF32" s="308"/>
      <c r="DG32" s="308"/>
      <c r="DH32" s="308"/>
      <c r="DI32" s="308"/>
      <c r="DJ32" s="308"/>
      <c r="DK32" s="308"/>
      <c r="DL32" s="308"/>
      <c r="DM32" s="308"/>
      <c r="DN32" s="308"/>
      <c r="DO32" s="308"/>
      <c r="DP32" s="308"/>
      <c r="DQ32" s="308"/>
      <c r="DR32" s="308"/>
      <c r="DS32" s="308"/>
      <c r="DT32" s="308"/>
      <c r="DU32" s="308"/>
      <c r="DV32" s="308"/>
      <c r="DW32" s="308"/>
      <c r="DX32" s="308"/>
      <c r="DY32" s="308"/>
      <c r="DZ32" s="308"/>
      <c r="EA32" s="308"/>
      <c r="EB32" s="308"/>
      <c r="EC32" s="308"/>
      <c r="ED32" s="308"/>
      <c r="EE32" s="308"/>
      <c r="EF32" s="308"/>
      <c r="EG32" s="308"/>
      <c r="EH32" s="308"/>
      <c r="EI32" s="308"/>
      <c r="EJ32" s="308"/>
      <c r="EK32" s="308"/>
      <c r="EL32" s="308"/>
      <c r="EM32" s="308"/>
      <c r="EN32" s="308"/>
      <c r="EO32" s="308"/>
      <c r="EP32" s="308"/>
      <c r="EQ32" s="308"/>
      <c r="ER32" s="308"/>
      <c r="ES32" s="308"/>
      <c r="ET32" s="308"/>
      <c r="EU32" s="308"/>
      <c r="EV32" s="308"/>
      <c r="EW32" s="308"/>
      <c r="EX32" s="308"/>
      <c r="EY32" s="308"/>
      <c r="EZ32" s="308"/>
      <c r="FA32" s="308"/>
      <c r="FB32" s="308"/>
      <c r="FC32" s="308"/>
      <c r="FD32" s="308"/>
      <c r="FE32" s="308"/>
      <c r="FF32" s="308"/>
      <c r="FG32" s="308"/>
      <c r="FH32" s="308"/>
      <c r="FI32" s="308"/>
      <c r="FJ32" s="308"/>
      <c r="FK32" s="308"/>
      <c r="FL32" s="308"/>
      <c r="FM32" s="308"/>
      <c r="FN32" s="308"/>
      <c r="FO32" s="308"/>
      <c r="FP32" s="308"/>
      <c r="FQ32" s="308"/>
      <c r="FR32" s="308"/>
      <c r="FS32" s="308"/>
      <c r="FT32" s="308"/>
      <c r="FU32" s="308"/>
      <c r="FV32" s="308"/>
      <c r="FW32" s="308"/>
      <c r="FX32" s="308"/>
      <c r="FY32" s="308"/>
      <c r="FZ32" s="308"/>
      <c r="GA32" s="308"/>
      <c r="GB32" s="114"/>
      <c r="GC32" s="308"/>
      <c r="GD32" s="308"/>
      <c r="GE32" s="308"/>
      <c r="GF32" s="308"/>
      <c r="GG32" s="308"/>
      <c r="GH32" s="308"/>
      <c r="GI32" s="308"/>
      <c r="GJ32" s="308"/>
      <c r="GK32" s="308"/>
      <c r="GL32" s="308"/>
      <c r="GM32" s="308"/>
      <c r="GN32" s="308"/>
      <c r="GO32" s="308"/>
      <c r="GP32" s="308"/>
      <c r="GQ32" s="308"/>
      <c r="GR32" s="308"/>
      <c r="GS32" s="308"/>
      <c r="GT32" s="308"/>
      <c r="GU32" s="308"/>
      <c r="GV32" s="308"/>
      <c r="GW32" s="308"/>
      <c r="GX32" s="308"/>
      <c r="GY32" s="308"/>
      <c r="GZ32" s="308"/>
      <c r="HA32" s="308"/>
      <c r="HB32" s="308"/>
      <c r="HC32" s="308"/>
      <c r="HD32" s="308"/>
      <c r="HE32" s="308"/>
      <c r="HF32" s="308"/>
      <c r="HG32" s="308"/>
      <c r="HH32" s="308"/>
      <c r="HI32" s="308"/>
      <c r="HJ32" s="308"/>
      <c r="HK32" s="308"/>
      <c r="HL32" s="308"/>
      <c r="HM32" s="308"/>
      <c r="HN32" s="308"/>
      <c r="HO32" s="308"/>
      <c r="HP32" s="308"/>
      <c r="HQ32" s="308"/>
      <c r="HR32" s="308"/>
      <c r="HS32" s="308"/>
      <c r="HT32" s="308"/>
      <c r="HU32" s="308"/>
      <c r="HV32" s="308"/>
      <c r="HW32" s="308"/>
      <c r="HX32" s="308"/>
      <c r="HY32" s="308"/>
      <c r="HZ32" s="308"/>
      <c r="IA32" s="308"/>
      <c r="IB32" s="308"/>
      <c r="IC32" s="308"/>
      <c r="ID32" s="308"/>
      <c r="IE32" s="308"/>
      <c r="IF32" s="308"/>
      <c r="IG32" s="308"/>
      <c r="IH32" s="308"/>
      <c r="II32" s="308"/>
      <c r="IJ32" s="308"/>
      <c r="IK32" s="308"/>
      <c r="IL32" s="308"/>
      <c r="IM32" s="308"/>
      <c r="IN32" s="308"/>
      <c r="IO32" s="308"/>
      <c r="IP32" s="308"/>
      <c r="IQ32" s="308"/>
      <c r="IR32" s="308"/>
      <c r="IS32" s="308"/>
      <c r="IT32" s="308"/>
      <c r="IU32" s="308"/>
      <c r="IV32" s="308"/>
      <c r="IW32" s="308"/>
      <c r="IX32" s="308"/>
      <c r="IY32" s="308"/>
      <c r="IZ32" s="308"/>
    </row>
    <row r="33" spans="2:5" ht="12.95" hidden="1" customHeight="1" x14ac:dyDescent="0.25">
      <c r="B33" s="308"/>
      <c r="C33" s="308"/>
      <c r="D33" s="308"/>
      <c r="E33" s="308"/>
    </row>
    <row r="34" spans="2:5" ht="12.95" hidden="1" customHeight="1" x14ac:dyDescent="0.25">
      <c r="B34" s="308"/>
      <c r="C34" s="308"/>
      <c r="D34" s="308"/>
      <c r="E34" s="308"/>
    </row>
    <row r="35" spans="2:5" ht="12.95" hidden="1" customHeight="1" x14ac:dyDescent="0.25">
      <c r="B35" s="115" t="s">
        <v>377</v>
      </c>
      <c r="C35" s="115" t="s">
        <v>378</v>
      </c>
      <c r="D35" s="115" t="s">
        <v>379</v>
      </c>
      <c r="E35" s="115" t="s">
        <v>380</v>
      </c>
    </row>
    <row r="36" spans="2:5" ht="12.95" hidden="1" customHeight="1" x14ac:dyDescent="0.25">
      <c r="B36" s="115" t="str">
        <f>"T 1: "&amp;Eing_Abnehmerart1</f>
        <v>T 1: Privé</v>
      </c>
      <c r="C36" s="115">
        <f>Eing_Arbeitspreis1</f>
        <v>0.1</v>
      </c>
      <c r="D36" s="115">
        <f>Eing_Leistungspreis1</f>
        <v>140</v>
      </c>
      <c r="E36" s="115">
        <f>Eing_Vertragslaufzeit1</f>
        <v>30</v>
      </c>
    </row>
    <row r="37" spans="2:5" ht="12.95" hidden="1" customHeight="1" x14ac:dyDescent="0.25">
      <c r="B37" s="115" t="str">
        <f>"T 2: "&amp;Eing_Abnehmerart2</f>
        <v>T 2: Industrie</v>
      </c>
      <c r="C37" s="115">
        <f>Eing_Arbeitspreis2</f>
        <v>0.1</v>
      </c>
      <c r="D37" s="115">
        <f>Eing_Leistungspreis2</f>
        <v>120</v>
      </c>
      <c r="E37" s="115">
        <f>Eing_Vertragslaufzeit2</f>
        <v>30</v>
      </c>
    </row>
    <row r="38" spans="2:5" ht="12.95" hidden="1" customHeight="1" x14ac:dyDescent="0.25">
      <c r="B38" s="115" t="str">
        <f>"T 3: "&amp;Eing_Abnehmerart3</f>
        <v>T 3: Commune</v>
      </c>
      <c r="C38" s="115">
        <f>Eing_Arbeitspreis3</f>
        <v>0.1</v>
      </c>
      <c r="D38" s="115">
        <f>Eing_Leistungspreis3</f>
        <v>100</v>
      </c>
      <c r="E38" s="115">
        <f>Eing_Vertragslaufzeit3</f>
        <v>50</v>
      </c>
    </row>
    <row r="39" spans="2:5" ht="12.95" hidden="1" customHeight="1" x14ac:dyDescent="0.25">
      <c r="B39" s="115" t="str">
        <f>"T 4: "&amp;Eing_Abnehmerart4</f>
        <v>T 4: Privé après 2030</v>
      </c>
      <c r="C39" s="115">
        <f>Eing_Arbeitspreis4</f>
        <v>0.1</v>
      </c>
      <c r="D39" s="115">
        <f>Eing_Leistungspreis4</f>
        <v>140</v>
      </c>
      <c r="E39" s="115">
        <f>Eing_Vertragslaufzeit4</f>
        <v>25</v>
      </c>
    </row>
    <row r="40" spans="2:5" hidden="1" x14ac:dyDescent="0.25">
      <c r="B40" s="115" t="str">
        <f>"T 5: "&amp;Eing_Abnehmerart5</f>
        <v xml:space="preserve">T 5: </v>
      </c>
      <c r="C40" s="115">
        <f>Eing_Arbeitspreis5</f>
        <v>0</v>
      </c>
      <c r="D40" s="115">
        <f>Eing_Leistungspreis5</f>
        <v>0</v>
      </c>
      <c r="E40" s="115">
        <f>Eing_Vertragslaufzeit5</f>
        <v>0</v>
      </c>
    </row>
    <row r="41" spans="2:5" hidden="1" x14ac:dyDescent="0.25">
      <c r="B41" s="115" t="str">
        <f>"T 6: "&amp;Eing_Abnehmerart6</f>
        <v xml:space="preserve">T 6: </v>
      </c>
      <c r="C41" s="115">
        <f>Eing_Arbeitspreis6</f>
        <v>0</v>
      </c>
      <c r="D41" s="115">
        <f>Eing_Leistungspreis6</f>
        <v>0</v>
      </c>
      <c r="E41" s="115">
        <f>Eing_Vertragslaufzeit6</f>
        <v>0</v>
      </c>
    </row>
  </sheetData>
  <sheetProtection algorithmName="SHA-512" hashValue="1QLAftO+ZnJ1w9HYoIn3mx23KKJAyFCpmt70LfoEbMl9OgdINYfjtPLaQPiOtWfxbUHEjg6L9E4Upjpd1LBPFg==" saltValue="cEWdu14EG5BUT3PyQClC3w==" spinCount="100000" sheet="1" objects="1" scenarios="1"/>
  <conditionalFormatting sqref="D20:IZ20">
    <cfRule type="cellIs" dxfId="8" priority="1" operator="greaterThan">
      <formula>1</formula>
    </cfRule>
  </conditionalFormatting>
  <conditionalFormatting sqref="D22:IZ22">
    <cfRule type="expression" dxfId="7" priority="2">
      <formula>AND(NOT(D21=0),ISBLANK(D22))</formula>
    </cfRule>
  </conditionalFormatting>
  <conditionalFormatting sqref="D28:IZ30">
    <cfRule type="expression" dxfId="6" priority="3" stopIfTrue="1">
      <formula>OR(ISERROR(D$28),D$28=0)</formula>
    </cfRule>
  </conditionalFormatting>
  <dataValidations count="1">
    <dataValidation type="list" allowBlank="1" showInputMessage="1" showErrorMessage="1" sqref="D22:IZ22" xr:uid="{D277F33C-8EBA-42A7-B97B-F2D2CE2287DF}">
      <formula1>$B$36:$B$41</formula1>
    </dataValidation>
  </dataValidations>
  <hyperlinks>
    <hyperlink ref="A1" location="I1_300" display="I1_300" xr:uid="{00000000-0004-0000-0300-000000000000}"/>
    <hyperlink ref="A3" location="I1_101a" display="101a" xr:uid="{00000000-0004-0000-0300-000001000000}"/>
    <hyperlink ref="A4" location="I1_101b" display="101b" xr:uid="{00000000-0004-0000-0300-000002000000}"/>
    <hyperlink ref="A6" location="I1_206" display="I1_206" xr:uid="{00000000-0004-0000-0300-000003000000}"/>
    <hyperlink ref="A10" location="I1_207" display="I1_207" xr:uid="{00000000-0004-0000-0300-000004000000}"/>
    <hyperlink ref="A12" location="I1_310" display="I1_310" xr:uid="{00000000-0004-0000-0300-000005000000}"/>
    <hyperlink ref="A23" location="I1_325" display="I1_325" xr:uid="{00000000-0004-0000-0300-000006000000}"/>
    <hyperlink ref="A14" location="I1_311" display="I1_311" xr:uid="{00000000-0004-0000-0300-000007000000}"/>
    <hyperlink ref="A15" location="I1_312" display="I1_312" xr:uid="{00000000-0004-0000-0300-000008000000}"/>
    <hyperlink ref="A18" location="I1_320" display="I1_320" xr:uid="{00000000-0004-0000-0300-000009000000}"/>
    <hyperlink ref="A19" location="I1_321" display="I1_321" xr:uid="{00000000-0004-0000-0300-00000A000000}"/>
    <hyperlink ref="A20" location="I1_322" display="I1_322" xr:uid="{00000000-0004-0000-0300-00000B000000}"/>
    <hyperlink ref="A21" location="I1_323" display="I1_323" xr:uid="{00000000-0004-0000-0300-00000C000000}"/>
    <hyperlink ref="A22" location="I1_324" display="I1_324" xr:uid="{00000000-0004-0000-0300-00000D000000}"/>
    <hyperlink ref="A25" location="I1_330" display="I1_330" xr:uid="{00000000-0004-0000-0300-00000E000000}"/>
    <hyperlink ref="A26" location="I1_331" display="I1_331" xr:uid="{00000000-0004-0000-0300-00000F000000}"/>
    <hyperlink ref="A27" location="I1_332" display="I1_332" xr:uid="{00000000-0004-0000-0300-000010000000}"/>
    <hyperlink ref="A28" location="I1_333" display="I1_333" xr:uid="{00000000-0004-0000-0300-000011000000}"/>
    <hyperlink ref="A29" location="I1_334" display="I1_334" xr:uid="{00000000-0004-0000-0300-000012000000}"/>
    <hyperlink ref="A30" location="I1_335" display="I1_335" xr:uid="{00000000-0004-0000-0300-000013000000}"/>
    <hyperlink ref="A5" location="I1_101c" display="101c" xr:uid="{1684037A-2959-4F16-87C0-6FC8D4EB4BF8}"/>
    <hyperlink ref="A24" location="I1_326" display="I1_326" xr:uid="{5904FF5A-34DA-49C6-BFD8-D3EB219B2362}"/>
  </hyperlinks>
  <pageMargins left="0.78740157480314965" right="0.6692913385826772" top="1.1417322834645669" bottom="1.3385826771653544" header="0.51181102362204722" footer="0.51181102362204722"/>
  <pageSetup paperSize="9" scale="70" fitToWidth="0" fitToHeight="0" orientation="landscape" r:id="rId1"/>
  <headerFooter alignWithMargins="0">
    <oddHeader>&amp;L&amp;G&amp;R&amp;G</oddHeader>
    <oddFooter>&amp;L&amp;"Arial,Standard"&amp;10&amp;F&amp;C&amp;"Arial,Standard"&amp;10&amp;P / &amp;N &amp;R&amp;"Arial,Standard"&amp;10&amp;D</oddFooter>
  </headerFooter>
  <ignoredErrors>
    <ignoredError sqref="C10 C7:C8" unlockedFormula="1"/>
  </ignoredErrors>
  <legacyDrawingHF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BF68"/>
  <sheetViews>
    <sheetView zoomScaleNormal="100" workbookViewId="0">
      <selection activeCell="G16" sqref="G16"/>
    </sheetView>
  </sheetViews>
  <sheetFormatPr baseColWidth="10" defaultColWidth="0" defaultRowHeight="12.75" zeroHeight="1" x14ac:dyDescent="0.2"/>
  <cols>
    <col min="1" max="1" width="5.7109375" style="31" customWidth="1"/>
    <col min="2" max="2" width="5.7109375" style="1" customWidth="1"/>
    <col min="3" max="3" width="11.7109375" style="1" customWidth="1"/>
    <col min="4" max="4" width="10.7109375" style="1" customWidth="1"/>
    <col min="5" max="8" width="15.7109375" style="1" customWidth="1"/>
    <col min="9" max="11" width="11.7109375" style="1" customWidth="1"/>
    <col min="12" max="12" width="13.28515625" style="1" customWidth="1"/>
    <col min="13" max="13" width="11.7109375" style="1" hidden="1" customWidth="1"/>
    <col min="14" max="45" width="11.7109375" style="1" customWidth="1"/>
    <col min="46" max="58" width="11.7109375" style="1" hidden="1" customWidth="1"/>
    <col min="59" max="16384" width="3" style="1" hidden="1"/>
  </cols>
  <sheetData>
    <row r="1" spans="1:35" ht="17.100000000000001" customHeight="1" x14ac:dyDescent="0.25">
      <c r="A1" s="175">
        <v>500</v>
      </c>
      <c r="B1" s="148" t="s">
        <v>381</v>
      </c>
      <c r="C1" s="5"/>
    </row>
    <row r="2" spans="1:35" ht="6" customHeight="1" x14ac:dyDescent="0.2"/>
    <row r="3" spans="1:35" ht="12.95" customHeight="1" x14ac:dyDescent="0.2">
      <c r="A3" s="178" t="s">
        <v>2</v>
      </c>
      <c r="D3" s="361" t="s">
        <v>175</v>
      </c>
      <c r="E3" s="361"/>
      <c r="F3" s="361"/>
      <c r="G3" s="361"/>
      <c r="H3" s="361"/>
      <c r="I3" s="361"/>
    </row>
    <row r="4" spans="1:35" ht="12.95" customHeight="1" x14ac:dyDescent="0.2">
      <c r="A4" s="178" t="s">
        <v>4</v>
      </c>
      <c r="D4" s="362" t="s">
        <v>382</v>
      </c>
      <c r="E4" s="362"/>
      <c r="F4" s="362"/>
      <c r="G4" s="362"/>
      <c r="H4" s="362"/>
      <c r="I4" s="362"/>
    </row>
    <row r="5" spans="1:35" ht="6" customHeight="1" x14ac:dyDescent="0.2"/>
    <row r="6" spans="1:35" ht="12.95" customHeight="1" x14ac:dyDescent="0.2">
      <c r="A6" s="184">
        <v>206</v>
      </c>
      <c r="B6" s="5" t="s">
        <v>180</v>
      </c>
      <c r="C6" s="5"/>
      <c r="D6" s="359" t="str">
        <f>IF('E1_Données de projet'!C8=0,"",'E1_Données de projet'!C8)</f>
        <v>QMH projet example 2</v>
      </c>
      <c r="E6" s="359"/>
      <c r="F6" s="359"/>
      <c r="G6" s="359"/>
      <c r="H6" s="359"/>
      <c r="I6" s="359"/>
      <c r="J6" s="205">
        <v>505</v>
      </c>
      <c r="K6" s="5" t="s">
        <v>383</v>
      </c>
      <c r="N6" s="47"/>
      <c r="V6" s="3"/>
      <c r="W6" s="5"/>
      <c r="AH6" s="3">
        <v>506</v>
      </c>
      <c r="AI6" s="5" t="s">
        <v>384</v>
      </c>
    </row>
    <row r="7" spans="1:35" ht="12.95" customHeight="1" x14ac:dyDescent="0.2">
      <c r="B7" s="5"/>
      <c r="C7" s="5"/>
      <c r="D7" s="359" t="str">
        <f>IF('E1_Données de projet'!C9=0,"",'E1_Données de projet'!C9)</f>
        <v>Modèle de rentabilité</v>
      </c>
      <c r="E7" s="359"/>
      <c r="F7" s="359"/>
      <c r="G7" s="359"/>
      <c r="H7" s="359"/>
      <c r="I7" s="359"/>
      <c r="J7" s="5"/>
    </row>
    <row r="8" spans="1:35" ht="12.95" customHeight="1" x14ac:dyDescent="0.2">
      <c r="B8" s="5"/>
      <c r="C8" s="5"/>
      <c r="D8" s="359" t="str">
        <f>IF('E1_Données de projet'!C10=0,"",'E1_Données de projet'!C10)</f>
        <v>CP / lieu</v>
      </c>
      <c r="E8" s="359"/>
      <c r="F8" s="359"/>
      <c r="G8" s="359"/>
      <c r="H8" s="359"/>
      <c r="I8" s="359"/>
      <c r="J8" s="5"/>
    </row>
    <row r="9" spans="1:35" ht="12.95" customHeight="1" x14ac:dyDescent="0.2">
      <c r="B9" s="5"/>
      <c r="C9" s="5"/>
      <c r="E9" s="48"/>
      <c r="F9" s="48"/>
      <c r="G9" s="48"/>
      <c r="H9" s="48"/>
      <c r="I9" s="48"/>
      <c r="J9" s="48"/>
    </row>
    <row r="10" spans="1:35" ht="12.95" customHeight="1" x14ac:dyDescent="0.2">
      <c r="A10" s="184">
        <v>207</v>
      </c>
      <c r="B10" s="49" t="s">
        <v>181</v>
      </c>
      <c r="C10" s="5"/>
      <c r="D10" s="359" t="str">
        <f>IF('E1_Données de projet'!C12=0,"",'E1_Données de projet'!C12)</f>
        <v>date, nome</v>
      </c>
      <c r="E10" s="359"/>
      <c r="F10" s="359"/>
      <c r="G10" s="359"/>
      <c r="H10" s="359"/>
      <c r="I10" s="359"/>
      <c r="J10" s="5"/>
    </row>
    <row r="11" spans="1:35" ht="12.95" customHeight="1" x14ac:dyDescent="0.2"/>
    <row r="12" spans="1:35" ht="12.95" customHeight="1" x14ac:dyDescent="0.2">
      <c r="A12" s="178">
        <v>501</v>
      </c>
      <c r="B12" s="1" t="s">
        <v>385</v>
      </c>
      <c r="D12" s="363" t="str">
        <f>IF('E1_Données de projet'!C14&lt;&gt;"",'E1_Données de projet'!Y15,"")</f>
        <v/>
      </c>
      <c r="E12" s="363"/>
      <c r="F12" s="363"/>
      <c r="G12" s="363"/>
      <c r="H12" s="363"/>
      <c r="I12" s="363"/>
      <c r="J12" s="47"/>
    </row>
    <row r="13" spans="1:35" ht="12.95" customHeight="1" x14ac:dyDescent="0.2">
      <c r="G13" s="208">
        <v>511</v>
      </c>
    </row>
    <row r="14" spans="1:35" ht="12.95" customHeight="1" x14ac:dyDescent="0.2">
      <c r="A14" s="184">
        <v>510</v>
      </c>
      <c r="B14" s="5" t="s">
        <v>386</v>
      </c>
      <c r="C14" s="5"/>
      <c r="E14" s="31" t="s">
        <v>741</v>
      </c>
      <c r="F14" s="31" t="s">
        <v>387</v>
      </c>
      <c r="G14" s="1" t="s">
        <v>547</v>
      </c>
      <c r="N14" s="5"/>
    </row>
    <row r="15" spans="1:35" ht="12.95" customHeight="1" x14ac:dyDescent="0.2">
      <c r="A15" s="184" t="s">
        <v>122</v>
      </c>
      <c r="B15" s="365" t="s">
        <v>388</v>
      </c>
      <c r="C15" s="365"/>
      <c r="D15" s="365"/>
      <c r="E15" s="365"/>
      <c r="F15" s="41">
        <f>SUM(F16:F26)</f>
        <v>230764.72377299302</v>
      </c>
      <c r="G15" s="50" cm="1">
        <f t="array" ref="G15">IF(F15=0,0,SUMPRODUCT(F16:F26*G16:G26)/SUM(F16:F26))</f>
        <v>1.0000000000000002E-2</v>
      </c>
      <c r="I15" s="5"/>
      <c r="J15" s="34"/>
      <c r="K15" s="34"/>
      <c r="L15" s="34"/>
      <c r="M15" s="34"/>
      <c r="R15" s="6"/>
      <c r="S15" s="51"/>
      <c r="T15" s="34"/>
    </row>
    <row r="16" spans="1:35" ht="12.95" customHeight="1" x14ac:dyDescent="0.2">
      <c r="A16" s="184" t="s">
        <v>123</v>
      </c>
      <c r="C16" s="364" t="s">
        <v>742</v>
      </c>
      <c r="D16" s="364"/>
      <c r="E16" s="364"/>
      <c r="F16" s="6">
        <f>Energiekosten_Holzschnitzel</f>
        <v>82124.019073184754</v>
      </c>
      <c r="G16" s="151">
        <f t="shared" ref="G16:G26" si="0">Eing_allg_Teuerung/100</f>
        <v>0.01</v>
      </c>
      <c r="J16" s="34"/>
      <c r="K16" s="34"/>
      <c r="L16" s="34"/>
      <c r="M16" s="34"/>
    </row>
    <row r="17" spans="1:31" ht="12.95" customHeight="1" x14ac:dyDescent="0.2">
      <c r="A17" s="184" t="s">
        <v>124</v>
      </c>
      <c r="C17" s="364" t="s">
        <v>1006</v>
      </c>
      <c r="D17" s="364"/>
      <c r="E17" s="364"/>
      <c r="F17" s="6">
        <f>Energiekosten_WKK</f>
        <v>0</v>
      </c>
      <c r="G17" s="151">
        <f t="shared" si="0"/>
        <v>0.01</v>
      </c>
      <c r="J17" s="34"/>
      <c r="K17" s="34"/>
      <c r="L17" s="34"/>
      <c r="M17" s="34"/>
    </row>
    <row r="18" spans="1:31" ht="12.95" customHeight="1" x14ac:dyDescent="0.2">
      <c r="A18" s="184" t="s">
        <v>208</v>
      </c>
      <c r="C18" s="364" t="s">
        <v>743</v>
      </c>
      <c r="D18" s="364"/>
      <c r="E18" s="364"/>
      <c r="F18" s="6">
        <f>Energiekosten_Zusatz</f>
        <v>0</v>
      </c>
      <c r="G18" s="151">
        <f t="shared" si="0"/>
        <v>0.01</v>
      </c>
      <c r="J18" s="34"/>
      <c r="K18" s="34"/>
      <c r="L18" s="34"/>
      <c r="M18" s="34"/>
    </row>
    <row r="19" spans="1:31" ht="12.95" customHeight="1" x14ac:dyDescent="0.2">
      <c r="A19" s="184" t="s">
        <v>178</v>
      </c>
      <c r="C19" s="364" t="s">
        <v>744</v>
      </c>
      <c r="D19" s="364"/>
      <c r="E19" s="364"/>
      <c r="F19" s="6">
        <f>Energiekosten_AWN</f>
        <v>0</v>
      </c>
      <c r="G19" s="151">
        <f t="shared" ref="G19" si="1">Eing_allg_Teuerung/100</f>
        <v>0.01</v>
      </c>
      <c r="J19" s="34"/>
      <c r="K19" s="34"/>
      <c r="L19" s="34"/>
      <c r="M19" s="34"/>
    </row>
    <row r="20" spans="1:31" ht="12.95" customHeight="1" x14ac:dyDescent="0.2">
      <c r="A20" s="184" t="s">
        <v>209</v>
      </c>
      <c r="C20" s="364" t="s">
        <v>745</v>
      </c>
      <c r="D20" s="364"/>
      <c r="E20" s="364"/>
      <c r="F20" s="6">
        <f>Energiekosten_fossil</f>
        <v>0</v>
      </c>
      <c r="G20" s="151">
        <f t="shared" si="0"/>
        <v>0.01</v>
      </c>
      <c r="J20" s="34"/>
      <c r="K20" s="34"/>
      <c r="L20" s="34"/>
      <c r="M20" s="34"/>
    </row>
    <row r="21" spans="1:31" ht="12.95" customHeight="1" x14ac:dyDescent="0.2">
      <c r="A21" s="184" t="s">
        <v>200</v>
      </c>
      <c r="C21" s="364" t="s">
        <v>747</v>
      </c>
      <c r="D21" s="364"/>
      <c r="E21" s="364"/>
      <c r="F21" s="6">
        <f>SUM(Stromkosten_Hilfsenergie,Stromkosten_WP)</f>
        <v>37140.704699808273</v>
      </c>
      <c r="G21" s="151">
        <f t="shared" si="0"/>
        <v>0.01</v>
      </c>
      <c r="J21" s="34"/>
      <c r="K21" s="34"/>
      <c r="L21" s="34"/>
      <c r="M21" s="34"/>
      <c r="R21" s="6"/>
      <c r="S21" s="6"/>
      <c r="T21" s="52"/>
      <c r="U21" s="34"/>
      <c r="V21" s="34"/>
      <c r="W21" s="34"/>
      <c r="X21" s="34"/>
      <c r="Y21" s="34"/>
      <c r="Z21" s="34"/>
      <c r="AA21" s="34"/>
      <c r="AE21" s="6"/>
    </row>
    <row r="22" spans="1:31" ht="12.95" customHeight="1" x14ac:dyDescent="0.2">
      <c r="A22" s="184" t="s">
        <v>204</v>
      </c>
      <c r="C22" s="364" t="s">
        <v>386</v>
      </c>
      <c r="D22" s="364"/>
      <c r="E22" s="364"/>
      <c r="F22" s="6">
        <f>Eing_Betriebskosten</f>
        <v>15000</v>
      </c>
      <c r="G22" s="151">
        <f t="shared" si="0"/>
        <v>0.01</v>
      </c>
      <c r="J22" s="34"/>
      <c r="K22" s="34"/>
      <c r="L22" s="34"/>
      <c r="M22" s="34"/>
      <c r="N22" s="5"/>
    </row>
    <row r="23" spans="1:31" ht="12.95" customHeight="1" x14ac:dyDescent="0.2">
      <c r="A23" s="184" t="s">
        <v>258</v>
      </c>
      <c r="C23" s="364" t="s">
        <v>943</v>
      </c>
      <c r="D23" s="364"/>
      <c r="E23" s="364"/>
      <c r="F23" s="6">
        <f>Eing_Administration</f>
        <v>16700</v>
      </c>
      <c r="G23" s="151">
        <f>Eing_allg_Teuerung/100</f>
        <v>0.01</v>
      </c>
      <c r="J23" s="34"/>
      <c r="K23" s="34"/>
      <c r="L23" s="34"/>
      <c r="M23" s="34"/>
      <c r="R23" s="53"/>
      <c r="S23" s="53"/>
      <c r="T23" s="54"/>
      <c r="U23" s="55"/>
      <c r="V23" s="55"/>
      <c r="W23" s="55"/>
      <c r="X23" s="55"/>
      <c r="Y23" s="55"/>
      <c r="Z23" s="55"/>
      <c r="AA23" s="55"/>
    </row>
    <row r="24" spans="1:31" ht="12.95" customHeight="1" x14ac:dyDescent="0.2">
      <c r="A24" s="184" t="s">
        <v>233</v>
      </c>
      <c r="C24" s="364" t="s">
        <v>239</v>
      </c>
      <c r="D24" s="364"/>
      <c r="E24" s="364"/>
      <c r="F24" s="6">
        <f>Eing_Unterhaltskosten</f>
        <v>45200</v>
      </c>
      <c r="G24" s="151">
        <f t="shared" si="0"/>
        <v>0.01</v>
      </c>
      <c r="J24" s="34"/>
      <c r="K24" s="34"/>
      <c r="L24" s="34"/>
      <c r="M24" s="34"/>
      <c r="R24" s="53"/>
      <c r="S24" s="53"/>
      <c r="U24" s="55"/>
      <c r="V24" s="55"/>
      <c r="W24" s="55"/>
      <c r="X24" s="55"/>
      <c r="Y24" s="55"/>
      <c r="Z24" s="55"/>
      <c r="AA24" s="55"/>
    </row>
    <row r="25" spans="1:31" ht="12.95" customHeight="1" x14ac:dyDescent="0.2">
      <c r="A25" s="184" t="s">
        <v>260</v>
      </c>
      <c r="C25" s="364" t="s">
        <v>390</v>
      </c>
      <c r="D25" s="364"/>
      <c r="E25" s="364"/>
      <c r="F25" s="6">
        <f>Eing_Kosten_Grundstück</f>
        <v>4000</v>
      </c>
      <c r="G25" s="151">
        <f t="shared" si="0"/>
        <v>0.01</v>
      </c>
      <c r="J25" s="34"/>
      <c r="K25" s="34"/>
      <c r="L25" s="34"/>
      <c r="M25" s="34"/>
      <c r="R25" s="53"/>
      <c r="S25" s="53"/>
      <c r="T25" s="54"/>
      <c r="U25" s="55"/>
      <c r="V25" s="55"/>
      <c r="W25" s="55"/>
      <c r="X25" s="55"/>
      <c r="Y25" s="55"/>
      <c r="Z25" s="55"/>
      <c r="AA25" s="55"/>
      <c r="AB25" s="6"/>
      <c r="AC25" s="6"/>
      <c r="AD25" s="6"/>
    </row>
    <row r="26" spans="1:31" ht="12.95" customHeight="1" x14ac:dyDescent="0.2">
      <c r="A26" s="184" t="s">
        <v>211</v>
      </c>
      <c r="C26" s="364" t="s">
        <v>748</v>
      </c>
      <c r="D26" s="364"/>
      <c r="E26" s="364"/>
      <c r="F26" s="6">
        <f>Eing_Sonstige_Kosten</f>
        <v>30600</v>
      </c>
      <c r="G26" s="151">
        <f t="shared" si="0"/>
        <v>0.01</v>
      </c>
      <c r="J26" s="34"/>
      <c r="K26" s="34"/>
      <c r="L26" s="34"/>
      <c r="M26" s="34"/>
      <c r="R26" s="53"/>
      <c r="S26" s="53"/>
      <c r="T26" s="55"/>
      <c r="U26" s="55"/>
      <c r="V26" s="55"/>
      <c r="W26" s="55"/>
      <c r="X26" s="55"/>
      <c r="Y26" s="55"/>
      <c r="Z26" s="55"/>
      <c r="AA26" s="55"/>
    </row>
    <row r="27" spans="1:31" ht="12.95" customHeight="1" x14ac:dyDescent="0.2">
      <c r="A27" s="175"/>
      <c r="C27" s="31"/>
      <c r="D27" s="31"/>
      <c r="E27" s="31"/>
      <c r="F27" s="6"/>
      <c r="J27" s="34"/>
      <c r="K27" s="34"/>
      <c r="L27" s="34"/>
      <c r="M27" s="34"/>
      <c r="R27" s="53"/>
      <c r="S27" s="53"/>
      <c r="T27" s="55"/>
      <c r="U27" s="55"/>
      <c r="V27" s="55"/>
      <c r="W27" s="55"/>
      <c r="X27" s="55"/>
      <c r="Y27" s="55"/>
      <c r="Z27" s="55"/>
      <c r="AA27" s="55"/>
    </row>
    <row r="28" spans="1:31" ht="12.95" customHeight="1" x14ac:dyDescent="0.2">
      <c r="A28" s="184" t="s">
        <v>216</v>
      </c>
      <c r="C28" s="31"/>
      <c r="D28" s="31"/>
      <c r="E28" s="31" t="s">
        <v>750</v>
      </c>
      <c r="F28" s="6">
        <f>-Ertrag_Stromeinspeisung</f>
        <v>0</v>
      </c>
      <c r="G28" s="151">
        <f>Eing_allg_Teuerung/100</f>
        <v>0.01</v>
      </c>
      <c r="J28" s="34"/>
      <c r="K28" s="34"/>
      <c r="L28" s="34"/>
      <c r="M28" s="34"/>
    </row>
    <row r="29" spans="1:31" ht="12.95" customHeight="1" x14ac:dyDescent="0.2">
      <c r="A29" s="184" t="s">
        <v>391</v>
      </c>
      <c r="C29" s="31"/>
      <c r="D29" s="31"/>
      <c r="E29" s="31" t="s">
        <v>751</v>
      </c>
      <c r="F29" s="6">
        <f>-Ertrag_Pflanzenkohle</f>
        <v>0</v>
      </c>
      <c r="G29" s="151">
        <f t="shared" ref="G29" si="2">Eing_allg_Teuerung/100</f>
        <v>0.01</v>
      </c>
      <c r="J29" s="34"/>
      <c r="K29" s="34"/>
      <c r="L29" s="34"/>
      <c r="M29" s="34"/>
    </row>
    <row r="30" spans="1:31" ht="12.95" customHeight="1" x14ac:dyDescent="0.2">
      <c r="A30" s="184" t="s">
        <v>224</v>
      </c>
      <c r="B30" s="5" t="s">
        <v>392</v>
      </c>
      <c r="F30" s="6"/>
      <c r="G30" s="151">
        <f>G15</f>
        <v>1.0000000000000002E-2</v>
      </c>
      <c r="I30" s="56"/>
      <c r="J30" s="34"/>
      <c r="K30" s="34"/>
      <c r="L30" s="34"/>
      <c r="M30" s="34"/>
    </row>
    <row r="31" spans="1:31" ht="12.95" customHeight="1" x14ac:dyDescent="0.2">
      <c r="A31" s="46"/>
      <c r="B31" s="5"/>
      <c r="F31" s="6"/>
      <c r="G31" s="51"/>
      <c r="J31" s="34"/>
      <c r="K31" s="34"/>
      <c r="L31" s="34"/>
      <c r="M31" s="34"/>
    </row>
    <row r="32" spans="1:31" ht="12.95" customHeight="1" x14ac:dyDescent="0.2">
      <c r="A32" s="175"/>
      <c r="B32" s="5" t="s">
        <v>393</v>
      </c>
      <c r="E32" s="31"/>
      <c r="F32" s="46" t="s">
        <v>163</v>
      </c>
      <c r="I32" s="54"/>
      <c r="T32" s="54"/>
    </row>
    <row r="33" spans="1:56" ht="12.95" customHeight="1" x14ac:dyDescent="0.2">
      <c r="A33" s="184">
        <v>145</v>
      </c>
      <c r="C33" s="365" t="s">
        <v>752</v>
      </c>
      <c r="D33" s="365"/>
      <c r="E33" s="365"/>
      <c r="F33" s="41">
        <f>Gesamtinvestition</f>
        <v>3060000</v>
      </c>
      <c r="I33" s="54"/>
      <c r="T33" s="54"/>
    </row>
    <row r="34" spans="1:56" ht="12.95" customHeight="1" x14ac:dyDescent="0.2">
      <c r="A34" s="184">
        <v>165</v>
      </c>
      <c r="C34" s="364" t="s">
        <v>760</v>
      </c>
      <c r="D34" s="364"/>
      <c r="E34" s="364"/>
      <c r="F34" s="6">
        <f>Gesamtsumme_Förderung</f>
        <v>300000</v>
      </c>
      <c r="H34" s="31"/>
      <c r="I34" s="57"/>
    </row>
    <row r="35" spans="1:56" ht="12.95" customHeight="1" x14ac:dyDescent="0.2">
      <c r="A35" s="184">
        <v>543</v>
      </c>
      <c r="C35" s="158"/>
      <c r="D35" s="158"/>
      <c r="E35" s="31" t="s">
        <v>650</v>
      </c>
      <c r="F35" s="6">
        <f>SUM(G44:G68)</f>
        <v>-1191000</v>
      </c>
      <c r="H35" s="31"/>
      <c r="I35" s="57"/>
    </row>
    <row r="36" spans="1:56" ht="12.95" customHeight="1" x14ac:dyDescent="0.2">
      <c r="A36" s="184">
        <v>155</v>
      </c>
      <c r="C36" s="158"/>
      <c r="D36" s="158"/>
      <c r="E36" s="31" t="s">
        <v>761</v>
      </c>
      <c r="F36" s="6">
        <f>Eing_Eigenkapital</f>
        <v>500000</v>
      </c>
      <c r="H36" s="31"/>
      <c r="I36" s="57"/>
    </row>
    <row r="37" spans="1:56" ht="12.95" customHeight="1" x14ac:dyDescent="0.2">
      <c r="A37" s="184">
        <v>160</v>
      </c>
      <c r="C37" s="158"/>
      <c r="D37" s="158"/>
      <c r="E37" s="31" t="s">
        <v>762</v>
      </c>
      <c r="F37" s="6">
        <f>SUM(Eing_Kredit_1,Eing_Kredit_2)</f>
        <v>1350000</v>
      </c>
      <c r="H37" s="31"/>
      <c r="I37" s="57"/>
    </row>
    <row r="38" spans="1:56" ht="12.95" customHeight="1" x14ac:dyDescent="0.2">
      <c r="A38" s="321"/>
      <c r="C38" s="31"/>
      <c r="D38" s="31"/>
      <c r="E38" s="31"/>
      <c r="F38" s="6"/>
      <c r="G38" s="31"/>
      <c r="H38" s="31"/>
      <c r="I38" s="59"/>
      <c r="J38" s="59"/>
      <c r="K38" s="60"/>
      <c r="L38" s="60"/>
      <c r="M38" s="60"/>
    </row>
    <row r="39" spans="1:56" ht="12.95" customHeight="1" x14ac:dyDescent="0.2">
      <c r="A39" s="184">
        <v>530</v>
      </c>
      <c r="E39" s="61" t="s">
        <v>766</v>
      </c>
      <c r="I39" s="340" t="s">
        <v>767</v>
      </c>
      <c r="J39" s="5"/>
      <c r="N39" s="61" t="s">
        <v>394</v>
      </c>
      <c r="U39" s="61" t="s">
        <v>395</v>
      </c>
      <c r="V39" s="1" t="s">
        <v>341</v>
      </c>
      <c r="AB39" s="1" t="s">
        <v>786</v>
      </c>
      <c r="AI39" s="61" t="s">
        <v>396</v>
      </c>
      <c r="AJ39" s="5"/>
      <c r="AK39" s="5"/>
      <c r="AM39" s="61" t="s">
        <v>397</v>
      </c>
      <c r="AN39" s="5"/>
      <c r="AO39" s="5"/>
      <c r="AP39" s="5"/>
      <c r="AQ39" s="61" t="s">
        <v>797</v>
      </c>
      <c r="AR39" s="5"/>
      <c r="AS39" s="5"/>
      <c r="AT39" s="5" t="s">
        <v>398</v>
      </c>
      <c r="AU39" s="5"/>
      <c r="AV39" s="5"/>
      <c r="AW39" s="5"/>
      <c r="AX39" s="5"/>
      <c r="AY39" s="5"/>
      <c r="AZ39" s="5"/>
      <c r="BA39" s="5"/>
      <c r="BB39" s="5"/>
    </row>
    <row r="40" spans="1:56" ht="6.75" customHeight="1" x14ac:dyDescent="0.2">
      <c r="E40" s="62"/>
      <c r="I40" s="211"/>
      <c r="J40" s="212"/>
      <c r="N40" s="63"/>
      <c r="U40" s="62"/>
      <c r="V40" s="5"/>
      <c r="Z40" s="5"/>
      <c r="AA40" s="5"/>
      <c r="AB40" s="5"/>
      <c r="AC40" s="5"/>
      <c r="AD40" s="5"/>
      <c r="AE40" s="5"/>
      <c r="AF40" s="5"/>
      <c r="AG40" s="5"/>
      <c r="AI40" s="63"/>
      <c r="AJ40" s="161"/>
      <c r="AK40" s="161"/>
      <c r="AM40" s="63"/>
      <c r="AP40" s="161"/>
      <c r="AQ40" s="63"/>
      <c r="AR40" s="161"/>
      <c r="AS40" s="161"/>
    </row>
    <row r="41" spans="1:56" ht="70.5" customHeight="1" x14ac:dyDescent="0.2">
      <c r="A41" s="321"/>
      <c r="B41" s="64" t="s">
        <v>270</v>
      </c>
      <c r="C41" s="65" t="s">
        <v>399</v>
      </c>
      <c r="D41" s="66" t="s">
        <v>400</v>
      </c>
      <c r="E41" s="68" t="s">
        <v>252</v>
      </c>
      <c r="F41" s="68" t="s">
        <v>763</v>
      </c>
      <c r="G41" s="68" t="s">
        <v>401</v>
      </c>
      <c r="H41" s="160" t="s">
        <v>764</v>
      </c>
      <c r="I41" s="294" t="s">
        <v>768</v>
      </c>
      <c r="J41" s="160" t="s">
        <v>769</v>
      </c>
      <c r="K41" s="160" t="s">
        <v>770</v>
      </c>
      <c r="L41" s="160" t="s">
        <v>940</v>
      </c>
      <c r="M41" s="66" t="s">
        <v>402</v>
      </c>
      <c r="N41" s="67" t="s">
        <v>776</v>
      </c>
      <c r="O41" s="160" t="s">
        <v>774</v>
      </c>
      <c r="P41" s="160" t="s">
        <v>775</v>
      </c>
      <c r="Q41" s="341" t="s">
        <v>777</v>
      </c>
      <c r="R41" s="149" t="s">
        <v>403</v>
      </c>
      <c r="S41" s="70" t="s">
        <v>404</v>
      </c>
      <c r="T41" s="69" t="s">
        <v>405</v>
      </c>
      <c r="U41" s="67" t="s">
        <v>780</v>
      </c>
      <c r="V41" s="160" t="s">
        <v>779</v>
      </c>
      <c r="W41" s="160" t="s">
        <v>782</v>
      </c>
      <c r="X41" s="160" t="s">
        <v>783</v>
      </c>
      <c r="Y41" s="68" t="s">
        <v>389</v>
      </c>
      <c r="Z41" s="160" t="s">
        <v>784</v>
      </c>
      <c r="AA41" s="68" t="s">
        <v>914</v>
      </c>
      <c r="AB41" s="68" t="s">
        <v>785</v>
      </c>
      <c r="AC41" s="68" t="s">
        <v>406</v>
      </c>
      <c r="AD41" s="68" t="s">
        <v>407</v>
      </c>
      <c r="AE41" s="149" t="s">
        <v>408</v>
      </c>
      <c r="AF41" s="68" t="s">
        <v>409</v>
      </c>
      <c r="AG41" s="65" t="s">
        <v>788</v>
      </c>
      <c r="AH41" s="69" t="s">
        <v>789</v>
      </c>
      <c r="AI41" s="67" t="s">
        <v>791</v>
      </c>
      <c r="AJ41" s="68" t="s">
        <v>792</v>
      </c>
      <c r="AK41" s="68" t="s">
        <v>396</v>
      </c>
      <c r="AL41" s="66" t="s">
        <v>150</v>
      </c>
      <c r="AM41" s="68" t="s">
        <v>793</v>
      </c>
      <c r="AN41" s="68" t="s">
        <v>794</v>
      </c>
      <c r="AO41" s="70" t="s">
        <v>795</v>
      </c>
      <c r="AP41" s="66" t="s">
        <v>796</v>
      </c>
      <c r="AQ41" s="66" t="s">
        <v>410</v>
      </c>
      <c r="AR41" s="68" t="s">
        <v>411</v>
      </c>
      <c r="AS41" s="67" t="s">
        <v>412</v>
      </c>
      <c r="AT41" s="213" t="s">
        <v>413</v>
      </c>
      <c r="AU41" s="213" t="s">
        <v>414</v>
      </c>
      <c r="AV41" s="213" t="s">
        <v>415</v>
      </c>
      <c r="AW41" s="213" t="s">
        <v>416</v>
      </c>
      <c r="AX41" s="213" t="s">
        <v>417</v>
      </c>
      <c r="AY41" s="213" t="s">
        <v>418</v>
      </c>
      <c r="AZ41" s="213" t="s">
        <v>419</v>
      </c>
      <c r="BA41" s="213" t="s">
        <v>420</v>
      </c>
      <c r="BB41" s="213" t="s">
        <v>421</v>
      </c>
      <c r="BC41" s="216" t="s">
        <v>422</v>
      </c>
      <c r="BD41" s="216" t="s">
        <v>423</v>
      </c>
    </row>
    <row r="42" spans="1:56" s="71" customFormat="1" ht="12.95" customHeight="1" x14ac:dyDescent="0.2">
      <c r="A42" s="181"/>
      <c r="B42" s="186">
        <v>531</v>
      </c>
      <c r="C42" s="187">
        <v>532</v>
      </c>
      <c r="D42" s="188">
        <v>533</v>
      </c>
      <c r="E42" s="189">
        <v>541</v>
      </c>
      <c r="F42" s="190">
        <v>542</v>
      </c>
      <c r="G42" s="191">
        <v>543</v>
      </c>
      <c r="H42" s="192">
        <v>544</v>
      </c>
      <c r="I42" s="192">
        <v>551</v>
      </c>
      <c r="J42" s="193">
        <v>552</v>
      </c>
      <c r="K42" s="194">
        <v>555</v>
      </c>
      <c r="L42" s="195">
        <v>582</v>
      </c>
      <c r="M42" s="231">
        <v>559</v>
      </c>
      <c r="N42" s="186">
        <v>561</v>
      </c>
      <c r="O42" s="192">
        <v>562</v>
      </c>
      <c r="P42" s="192">
        <v>563</v>
      </c>
      <c r="Q42" s="190">
        <v>564</v>
      </c>
      <c r="R42" s="191">
        <v>566</v>
      </c>
      <c r="S42" s="196">
        <v>567</v>
      </c>
      <c r="T42" s="197">
        <v>569</v>
      </c>
      <c r="U42" s="198" t="s">
        <v>141</v>
      </c>
      <c r="V42" s="192" t="s">
        <v>142</v>
      </c>
      <c r="W42" s="192" t="s">
        <v>143</v>
      </c>
      <c r="X42" s="192" t="s">
        <v>144</v>
      </c>
      <c r="Y42" s="191" t="s">
        <v>145</v>
      </c>
      <c r="Z42" s="192" t="s">
        <v>146</v>
      </c>
      <c r="AA42" s="189" t="s">
        <v>147</v>
      </c>
      <c r="AB42" s="191" t="s">
        <v>148</v>
      </c>
      <c r="AC42" s="191" t="s">
        <v>149</v>
      </c>
      <c r="AD42" s="189">
        <v>575</v>
      </c>
      <c r="AE42" s="189">
        <v>576</v>
      </c>
      <c r="AF42" s="189">
        <v>577</v>
      </c>
      <c r="AG42" s="190">
        <v>578</v>
      </c>
      <c r="AH42" s="197">
        <v>579</v>
      </c>
      <c r="AI42" s="199">
        <v>580</v>
      </c>
      <c r="AJ42" s="225"/>
      <c r="AK42" s="190">
        <v>581</v>
      </c>
      <c r="AL42" s="200">
        <v>582</v>
      </c>
      <c r="AM42" s="201">
        <v>585</v>
      </c>
      <c r="AN42" s="225"/>
      <c r="AO42" s="228">
        <v>588</v>
      </c>
      <c r="AP42" s="228">
        <v>589</v>
      </c>
      <c r="AQ42" s="202">
        <v>591</v>
      </c>
      <c r="AR42" s="203">
        <v>592</v>
      </c>
      <c r="AS42" s="210">
        <v>599</v>
      </c>
      <c r="AT42" s="214"/>
      <c r="AU42" s="214"/>
      <c r="AV42" s="214"/>
      <c r="AW42" s="214"/>
      <c r="AX42" s="214"/>
      <c r="AY42" s="214"/>
      <c r="AZ42" s="214"/>
      <c r="BA42" s="214"/>
      <c r="BB42" s="214"/>
    </row>
    <row r="43" spans="1:56" ht="12.95" customHeight="1" x14ac:dyDescent="0.2">
      <c r="B43" s="72" t="s">
        <v>424</v>
      </c>
      <c r="C43" s="73" t="s">
        <v>153</v>
      </c>
      <c r="D43" s="74" t="s">
        <v>165</v>
      </c>
      <c r="E43" s="75" t="s">
        <v>163</v>
      </c>
      <c r="F43" s="75" t="s">
        <v>163</v>
      </c>
      <c r="G43" s="75" t="s">
        <v>163</v>
      </c>
      <c r="H43" s="75" t="s">
        <v>163</v>
      </c>
      <c r="I43" s="75" t="s">
        <v>163</v>
      </c>
      <c r="J43" s="73" t="s">
        <v>163</v>
      </c>
      <c r="K43" s="75" t="s">
        <v>163</v>
      </c>
      <c r="L43" s="76" t="s">
        <v>163</v>
      </c>
      <c r="M43" s="74" t="s">
        <v>165</v>
      </c>
      <c r="N43" s="72" t="s">
        <v>163</v>
      </c>
      <c r="O43" s="75" t="s">
        <v>163</v>
      </c>
      <c r="P43" s="75" t="s">
        <v>163</v>
      </c>
      <c r="Q43" s="75" t="s">
        <v>163</v>
      </c>
      <c r="R43" s="75" t="s">
        <v>163</v>
      </c>
      <c r="S43" s="75" t="s">
        <v>163</v>
      </c>
      <c r="T43" s="74" t="s">
        <v>163</v>
      </c>
      <c r="U43" s="72" t="s">
        <v>163</v>
      </c>
      <c r="V43" s="182" t="s">
        <v>163</v>
      </c>
      <c r="W43" s="75" t="s">
        <v>163</v>
      </c>
      <c r="X43" s="75" t="s">
        <v>163</v>
      </c>
      <c r="Y43" s="75" t="s">
        <v>163</v>
      </c>
      <c r="Z43" s="75" t="s">
        <v>163</v>
      </c>
      <c r="AA43" s="75" t="s">
        <v>163</v>
      </c>
      <c r="AB43" s="75" t="s">
        <v>163</v>
      </c>
      <c r="AC43" s="75" t="s">
        <v>163</v>
      </c>
      <c r="AD43" s="75" t="s">
        <v>163</v>
      </c>
      <c r="AE43" s="75" t="s">
        <v>163</v>
      </c>
      <c r="AF43" s="75" t="s">
        <v>163</v>
      </c>
      <c r="AG43" s="75" t="s">
        <v>163</v>
      </c>
      <c r="AH43" s="74" t="s">
        <v>163</v>
      </c>
      <c r="AI43" s="72" t="s">
        <v>163</v>
      </c>
      <c r="AJ43" s="182" t="s">
        <v>163</v>
      </c>
      <c r="AK43" s="75" t="s">
        <v>163</v>
      </c>
      <c r="AL43" s="74" t="s">
        <v>163</v>
      </c>
      <c r="AM43" s="72" t="s">
        <v>163</v>
      </c>
      <c r="AN43" s="182" t="s">
        <v>163</v>
      </c>
      <c r="AO43" s="75" t="s">
        <v>163</v>
      </c>
      <c r="AP43" s="74" t="s">
        <v>163</v>
      </c>
      <c r="AQ43" s="72" t="s">
        <v>163</v>
      </c>
      <c r="AR43" s="75" t="s">
        <v>163</v>
      </c>
      <c r="AS43" s="162"/>
      <c r="AT43" s="75" t="s">
        <v>163</v>
      </c>
      <c r="AU43" s="75" t="s">
        <v>163</v>
      </c>
      <c r="AV43" s="75" t="s">
        <v>163</v>
      </c>
      <c r="AW43" s="75" t="s">
        <v>163</v>
      </c>
      <c r="AX43" s="75" t="s">
        <v>163</v>
      </c>
      <c r="AY43" s="75" t="s">
        <v>163</v>
      </c>
      <c r="AZ43" s="75" t="s">
        <v>163</v>
      </c>
      <c r="BA43" s="75" t="s">
        <v>163</v>
      </c>
      <c r="BB43" s="75" t="s">
        <v>163</v>
      </c>
    </row>
    <row r="44" spans="1:56" ht="12.95" customHeight="1" x14ac:dyDescent="0.2">
      <c r="B44" s="77">
        <f>Eing_Beginnjahr</f>
        <v>2024</v>
      </c>
      <c r="C44" s="78" cm="1">
        <f t="array" ref="C44">(SUMPRODUCT((E3_Consommateurs!$D$21:$XFD$21&lt;B1_Calculs!B44)*E3_Consommateurs!$D$18:$XFD$18)+SUMPRODUCT((E3_Consommateurs!$D$21:$XFD$21=B1_Calculs!B44)*E3_Consommateurs!$D$18:$XFD$18*E3_Consommateurs!$D$20:$XFD$20))/(100-Eing_Netzverluste)*100*(1-Eing_AbnW/100)^(B1_Calculs!B44-Eing_Beginnjahr)</f>
        <v>0</v>
      </c>
      <c r="D44" s="79">
        <f>IF(mittl_Erzeugte_Wärmemenge=0,0,C44/mittl_Erzeugte_Wärmemenge*100)</f>
        <v>0</v>
      </c>
      <c r="E44" s="81" cm="1">
        <f t="array" ref="E44">IF(AS44=0,0,
(Eing_Kosten_Bau*(MOD((AS44),Eing_Nutzungsdauer_Bau)=0)
+Eing_Invest_HolzAnlage*(MOD((AS44),Eing_Nutzungsdauer_Holz)=0)
+Eing_Invest_WKKAnlage*(MOD((AS44),Eing_Nutzungsdauer_WKK)=0)
+Eing_Invest_WPAnlage*(MOD((AS44),Eing_Nutzungsdauer_WP)=0)
+Eing_Invest_SondenGrundwasser*(MOD((AS44),Eing_Nutzungsdauer_SondenGW)=0)
+Eing_Invest_Zusatz*(MOD((AS44),Eing_Nutzungsdauer_Zusatz)=0)
+Eing_Invest_AWN*(MOD((AS44),Eing_Nutzungsdauer_AWN)=0)
+Eing_Invest_Spitzenlast*(MOD((AS44),Eing_Nutzungsdauer_Spitzenlast)=0)
+Eing_Invest_Installationen*(MOD((AS44),Eing_Nutzungsdauer_Installationen)=0)
+Eing_Invest_Wärmenetz*(MOD((AS44),Eing_Nutzungsdauer_Netz)=0)
+Eing_Invest_Messung*(MOD((AS44),Eing_Nutzungsdauer_Messung)=0))*(1+Eing_allg_Teuerung/100)^(AS44))
+Gesamtinvestition*SUMPRODUCT(('E1_Données de projet'!$D$83:$D$87=B44)*'E1_Données de projet'!$F$83:$F$87)/100</f>
        <v>918000</v>
      </c>
      <c r="F44" s="150">
        <f t="shared" ref="F44:F68" si="3">-SUM(Einmaliger_Förderbeitrag_1*(B44=Förderungsauszahlung_1),Einmaliger_Förderbeitrag_2*(B44=Förderungsauszahlung_2),Einmaliger_Förderbeitrag_3*(B44=Förderungsauszahlung_3))</f>
        <v>0</v>
      </c>
      <c r="G44" s="150" cm="1">
        <f t="array" ref="G44">-SUMPRODUCT((E3_Consommateurs!$D$21:$XFD$21=B1_Calculs!B44)*E3_Consommateurs!$D$23:$XFD$23)</f>
        <v>0</v>
      </c>
      <c r="H44" s="81">
        <f>SUM(E44:G44)</f>
        <v>918000</v>
      </c>
      <c r="I44" s="150">
        <f>IF(H44&lt;=0,0,MIN(Eing_Eigenkapital,H44))</f>
        <v>500000</v>
      </c>
      <c r="J44" s="86">
        <f>AV44+AZ44</f>
        <v>418000</v>
      </c>
      <c r="K44" s="86">
        <f>-H44+SUM(I44:J44)</f>
        <v>0</v>
      </c>
      <c r="L44" s="81">
        <f>AL44</f>
        <v>-40870</v>
      </c>
      <c r="M44" s="229" t="str">
        <f>IF(ISNUMBER(IRR(BC44)),IRR(BC44),"-")</f>
        <v>-</v>
      </c>
      <c r="N44" s="80" cm="1">
        <f t="array" ref="N44">SUM((SUMPRODUCT((E3_Consommateurs!$D$21:$XFD$21&lt;B1_Calculs!B44)*E3_Consommateurs!$D$26:$XFD$26)+SUMPRODUCT((E3_Consommateurs!$D$21:$XFD$21=B1_Calculs!B44)*E3_Consommateurs!$D$26:$XFD$26*E3_Consommateurs!$D$20:$XFD$20))*(1+$G$30)^(B44-B$44),(SUMPRODUCT((E3_Consommateurs!$D$21:$XFD$21&lt;B1_Calculs!B44)*E3_Consommateurs!$D$27:$XFD$27)+SUMPRODUCT((E3_Consommateurs!$D$21:$XFD$21=B1_Calculs!B44)*E3_Consommateurs!$D$27:$XFD$27*E3_Consommateurs!$D$20:$XFD$20))*((1+$G$30)*(1-'E1_Données de projet'!$D$20/100))^(B44-B$44))</f>
        <v>0</v>
      </c>
      <c r="O44" s="86">
        <f t="shared" ref="O44:O68" si="4">-$F$28*D44/100*((1+$G$28)^(B44-$B$44))</f>
        <v>0</v>
      </c>
      <c r="P44" s="86">
        <f t="shared" ref="P44:P68" si="5">-$F$29*D44/100*((1+$G$29)^(B44-$B$44))</f>
        <v>0</v>
      </c>
      <c r="Q44" s="150">
        <f t="shared" ref="Q44:Q68" si="6">SUM(Eing_jährlicher_Förderbeitrag_1*((B44-Eing_Erstauszahlung_jährlFörderung_1)&lt;=(Eing_Förderung_wiederholend_Laufzeit_1-1))*(B44&gt;=Eing_Erstauszahlung_jährlFörderung_1),Eing_jährlicher_Förderbeitrag_2*((B44-Eing_Erstauszahlung_jährlFörderung_2)&lt;=(Eing_Förderung_wiederholend_Laufzeit_2-1))*(B44&gt;=Eing_Erstauszahlung_jährlFörderung_2))</f>
        <v>0</v>
      </c>
      <c r="R44" s="82"/>
      <c r="S44" s="85"/>
      <c r="T44" s="84">
        <f t="shared" ref="T44:T68" si="7">IF(S44,S44,SUM(N44:R44))</f>
        <v>0</v>
      </c>
      <c r="U44" s="80">
        <f t="shared" ref="U44:U68" si="8">Energiekosten_Holzschnitzel*D44/100*((1+$G$16)^(B44-$B$44))</f>
        <v>0</v>
      </c>
      <c r="V44" s="86">
        <f t="shared" ref="V44:V68" si="9">Energiekosten_WKK*D44/100*((1+$G$17)^(B44-$B$44))</f>
        <v>0</v>
      </c>
      <c r="W44" s="86">
        <f t="shared" ref="W44:W68" si="10">Energiekosten_Zusatz*D44/100*((1+$G$18)^(B44-$B$44))</f>
        <v>0</v>
      </c>
      <c r="X44" s="86">
        <f t="shared" ref="X44:X68" si="11">Energiekosten_AWN*D44/100*((1+$G$19)^(B44-$B$44))</f>
        <v>0</v>
      </c>
      <c r="Y44" s="81">
        <f t="shared" ref="Y44:Y68" si="12">Energiekosten_fossil*D44/100*(1+$G$20)^(B44-$B$44)</f>
        <v>0</v>
      </c>
      <c r="Z44" s="86">
        <f t="shared" ref="Z44:Z68" si="13">Stromkosten_WP*D44/100*((1+$G$21)^(B44-$B$44))</f>
        <v>0</v>
      </c>
      <c r="AA44" s="81">
        <f t="shared" ref="AA44:AA68" si="14">Stromkosten_Hilfsenergie*D44/100*((1+$G$21)^(B44-$B$44))</f>
        <v>0</v>
      </c>
      <c r="AB44" s="81">
        <f>($F$22*(1+$G$22)^(B44-B$44)+$F$23*(1+$G$23)^(B44-B$44))*(B44&gt;=Eing_JahrBegWLief)*VLOOKUP(B44,'E1_Données de projet'!$D$83:$I$87,6)/100</f>
        <v>0</v>
      </c>
      <c r="AC44" s="81">
        <f>$F$24*(1+$G$24)^(B44-B$44)*(B44&gt;=Eing_JahrBegWLief)*VLOOKUP(B44,'E1_Données de projet'!$D$83:$I$87,6)/100</f>
        <v>0</v>
      </c>
      <c r="AD44" s="81">
        <f t="shared" ref="AD44:AD68" si="15">Eing_Kosten_Grundstück*(1+$G$25)^(B44-B$44)+Eing_Sonstige_Kosten*(1+$G$26)^(B44-B$44)</f>
        <v>34600</v>
      </c>
      <c r="AE44" s="82"/>
      <c r="AF44" s="83"/>
      <c r="AG44" s="78">
        <f t="shared" ref="AG44:AG68" si="16">SUM(AX44*Eing_Kreditzinssatz_1/100,BB44*Eing_Kreditzinssatz_2/100)</f>
        <v>6270</v>
      </c>
      <c r="AH44" s="84">
        <f>IF(AF44,SUM(AF44:AG44),SUM(U44:AG44))</f>
        <v>40870</v>
      </c>
      <c r="AI44" s="80">
        <f>SUM(AW44,BA44)</f>
        <v>0</v>
      </c>
      <c r="AJ44" s="86">
        <f>SUM(AH44,AI44)</f>
        <v>40870</v>
      </c>
      <c r="AK44" s="81">
        <f>SUM(-AJ44,T44)</f>
        <v>-40870</v>
      </c>
      <c r="AL44" s="87">
        <f>AK44</f>
        <v>-40870</v>
      </c>
      <c r="AM44" s="81">
        <f>('E1_Données de projet'!$D$68*(1+Eing_allg_Teuerung/100)^('E1_Données de projet'!$I$68*ROUNDDOWN((AS44-1)/'E1_Données de projet'!$I$68,0))/'E1_Données de projet'!$I$68
+'E1_Données de projet'!$D$69*(1+Eing_allg_Teuerung/100)^('E1_Données de projet'!$I$69*ROUNDDOWN((AS44-1)/'E1_Données de projet'!$I$69,0))/'E1_Données de projet'!$I$69
+'E1_Données de projet'!$D$70*(1+Eing_allg_Teuerung/100)^('E1_Données de projet'!$I$70*ROUNDDOWN((AS44-1)/'E1_Données de projet'!$I$69,0))/'E1_Données de projet'!$I$70
+'E1_Données de projet'!$D$71*(1+Eing_allg_Teuerung/100)^('E1_Données de projet'!$I$71*ROUNDDOWN((AS44-1)/'E1_Données de projet'!$I$69,0))/'E1_Données de projet'!$I$71
+'E1_Données de projet'!$D$72*(1+Eing_allg_Teuerung/100)^('E1_Données de projet'!$I$72*ROUNDDOWN((AS44-1)/'E1_Données de projet'!$I$69,0))/'E1_Données de projet'!$I$72
+'E1_Données de projet'!$D$74*(1+Eing_allg_Teuerung/100)^('E1_Données de projet'!$I$74*ROUNDDOWN((AS44-1)/'E1_Données de projet'!$I$69,0))/'E1_Données de projet'!$I$74
+'E1_Données de projet'!$D$75*(1+Eing_allg_Teuerung/100)^('E1_Données de projet'!$I$75*ROUNDDOWN((AS44-1)/'E1_Données de projet'!$I$75,0))/'E1_Données de projet'!$I$75
+'E1_Données de projet'!$D$76*(1+Eing_allg_Teuerung/100)^('E1_Données de projet'!$I$76*ROUNDDOWN((AS44-1)/'E1_Données de projet'!$I$76,0))/'E1_Données de projet'!$I$76
+'E1_Données de projet'!$D$77*(1+Eing_allg_Teuerung/100)^('E1_Données de projet'!$I$77*ROUNDDOWN((AS44-1)/'E1_Données de projet'!$I$77,0))/'E1_Données de projet'!$I$77
+'E1_Données de projet'!$D$78*(1+Eing_allg_Teuerung/100)^('E1_Données de projet'!$I$78*ROUNDDOWN((AS44-1)/'E1_Données de projet'!$I$78,0))/'E1_Données de projet'!$I$78
+'E1_Données de projet'!$D$80*(1+Eing_allg_Teuerung/100)^('E1_Données de projet'!$I$80*ROUNDDOWN((AS44-1)/'E1_Données de projet'!$I$69,0))/'E1_Données de projet'!$I$80
)*((AS44)&gt;0)*VLOOKUP(B44,'E1_Données de projet'!$D$83:$I$87,6
)/100</f>
        <v>0</v>
      </c>
      <c r="AN44" s="226">
        <f>SUM(AH44,AM44)</f>
        <v>40870</v>
      </c>
      <c r="AO44" s="226">
        <f>SUM(T44,-AN44)</f>
        <v>-40870</v>
      </c>
      <c r="AP44" s="229">
        <f>AO44</f>
        <v>-40870</v>
      </c>
      <c r="AQ44" s="163" cm="1">
        <f t="array" ref="AQ44">IF(AS44-1&lt;=0,0,
(Eing_Kosten_Bau*(MOD((AS44-1),Eing_Nutzungsdauer_Bau)=0)
+Eing_Invest_HolzAnlage*(MOD((AS44-1),Eing_Nutzungsdauer_Holz)=0)
+Eing_Invest_WKKAnlage*(MOD((AS44-1),Eing_Nutzungsdauer_WKK)=0)
+Eing_Invest_WPAnlage*(MOD((AS44-1),Eing_Nutzungsdauer_WP)=0)
+Eing_Invest_SondenGrundwasser*(MOD((AS44-1),Eing_Nutzungsdauer_SondenGW)=0)
+Eing_Invest_AWN*(MOD((AS44-1),Eing_Nutzungsdauer_AWN)=0)
+Eing_Invest_Spitzenlast*(MOD((AS44-1),Eing_Nutzungsdauer_Spitzenlast)=0)
+Eing_Invest_Installationen*(MOD((AS44-1),Eing_Nutzungsdauer_Installationen)=0)
+Eing_Invest_Wärmenetz*(MOD((AS44-1),Eing_Nutzungsdauer_Netz)=0)
+Eing_Invest_Messung*(MOD((AS44-1),Eing_Nutzungsdauer_Messung)=0))*(1+Eing_allg_Teuerung/100)^(AS44-1))
+(Gesamtinvestition-SUM('E1_Données de projet'!$D$79:$D$80))*SUMPRODUCT(('E1_Données de projet'!$D$83:$D$87=B44)*'E1_Données de projet'!$F$83:$F$87)/100-AM44</f>
        <v>723000</v>
      </c>
      <c r="AR44" s="88">
        <f>-SUM(AX44,BB44)</f>
        <v>-418000</v>
      </c>
      <c r="AS44" s="164">
        <f>MAX(B1_Calculs!B44-'E1_Données de projet'!$D$23,0)</f>
        <v>0</v>
      </c>
      <c r="AT44" s="34">
        <f>Eing_Eigenkapital-B1_Calculs!I44</f>
        <v>0</v>
      </c>
      <c r="AU44" s="34">
        <f>(Eing_Kredit_1*(B44=Eing_Kreditstartjahr_1))</f>
        <v>0</v>
      </c>
      <c r="AV44" s="34">
        <f>IF((SUM(H$44:H44)-SUM(I$44:I44))&lt;=AU44,MAX((SUM(H$44:H44)-SUM(I$44:I44)),0),AU44)</f>
        <v>0</v>
      </c>
      <c r="AW44" s="34">
        <f t="shared" ref="AW44:AW68" si="17">IF(Eing_Kreditlaufzeit_1=0,0,(IF(Eing_Kreditlaufzeit_1&lt;&gt;0,(Eing_Kredit_1/(Eing_Kreditlaufzeit_1+Eing_Kreditstartjahr_1-Eing_StartAmortisation_Kredit1))*(Eing_Kreditlaufzeit_1&gt;B44-Eing_Kreditstartjahr_1)*(B44&gt;=Eing_StartAmortisation_Kredit1))))</f>
        <v>0</v>
      </c>
      <c r="AX44" s="34">
        <f>AV44-AW44</f>
        <v>0</v>
      </c>
      <c r="AY44" s="34">
        <f>(Eing_Kredit_2*(B44=Eing_Kreditstartjahr_2))</f>
        <v>500000</v>
      </c>
      <c r="AZ44" s="34">
        <f>IF((SUM(H$44:H44)-SUM(I$44:I44)-AV44)&lt;=AY44,MAX((SUM(H$44:H44)-SUM(I$44:I44)-AV44),0),AY44)</f>
        <v>418000</v>
      </c>
      <c r="BA44" s="34">
        <f t="shared" ref="BA44:BA68" si="18">IF(Eing_Kreditlaufzeit_2=0,0,(IF(Eing_Kreditlaufzeit_2&lt;&gt;0,(Eing_Kredit_2/(Eing_Kreditlaufzeit_2+Eing_Kreditstartjahr_2-Eing_StartAmortisation_Kredit2))*(Eing_Kreditlaufzeit_2&gt;B44-Eing_Kreditstartjahr_2)*(B44&gt;=Eing_StartAmortisation_Kredit2))))</f>
        <v>0</v>
      </c>
      <c r="BB44" s="34">
        <f>AZ44-BA44</f>
        <v>418000</v>
      </c>
      <c r="BC44" s="89">
        <f t="shared" ref="BC44:BC68" si="19">SUM(-H44,AK44,AQ44)</f>
        <v>-235870</v>
      </c>
      <c r="BD44" s="89">
        <f t="shared" ref="BD44:BD68" si="20">SUM(-H44,AK44)</f>
        <v>-958870</v>
      </c>
    </row>
    <row r="45" spans="1:56" ht="12.95" customHeight="1" x14ac:dyDescent="0.2">
      <c r="B45" s="77">
        <f>B44+1</f>
        <v>2025</v>
      </c>
      <c r="C45" s="78" cm="1">
        <f t="array" ref="C45">(SUMPRODUCT((E3_Consommateurs!$D$21:$XFD$21&lt;B1_Calculs!B45)*E3_Consommateurs!$D$18:$XFD$18)+SUMPRODUCT((E3_Consommateurs!$D$21:$XFD$21=B1_Calculs!B45)*E3_Consommateurs!$D$18:$XFD$18*E3_Consommateurs!$D$20:$XFD$20))/(100-Eing_Netzverluste)*100*(1-Eing_AbnW/100)^(B1_Calculs!B45-Eing_Beginnjahr)</f>
        <v>429</v>
      </c>
      <c r="D45" s="79">
        <f t="shared" ref="D45:D68" si="21">IF(mittl_Erzeugte_Wärmemenge=0,0,C45/mittl_Erzeugte_Wärmemenge*100)</f>
        <v>20.973583848411671</v>
      </c>
      <c r="E45" s="81" cm="1">
        <f t="array" ref="E45">IF(AS45=0,0,
(Eing_Kosten_Bau*(MOD((AS45),Eing_Nutzungsdauer_Bau)=0)
+Eing_Invest_HolzAnlage*(MOD((AS45),Eing_Nutzungsdauer_Holz)=0)
+Eing_Invest_WKKAnlage*(MOD((AS45),Eing_Nutzungsdauer_WKK)=0)
+Eing_Invest_WPAnlage*(MOD((AS45),Eing_Nutzungsdauer_WP)=0)
+Eing_Invest_SondenGrundwasser*(MOD((AS45),Eing_Nutzungsdauer_SondenGW)=0)
+Eing_Invest_Zusatz*(MOD((AS45),Eing_Nutzungsdauer_Zusatz)=0)
+Eing_Invest_AWN*(MOD((AS45),Eing_Nutzungsdauer_AWN)=0)
+Eing_Invest_Spitzenlast*(MOD((AS45),Eing_Nutzungsdauer_Spitzenlast)=0)
+Eing_Invest_Installationen*(MOD((AS45),Eing_Nutzungsdauer_Installationen)=0)
+Eing_Invest_Wärmenetz*(MOD((AS45),Eing_Nutzungsdauer_Netz)=0)
+Eing_Invest_Messung*(MOD((AS45),Eing_Nutzungsdauer_Messung)=0))*(1+Eing_allg_Teuerung/100)^(AS45))
+Gesamtinvestition*SUMPRODUCT(('E1_Données de projet'!$D$83:$D$87=B45)*'E1_Données de projet'!$F$83:$F$87)/100</f>
        <v>1224000</v>
      </c>
      <c r="F45" s="150">
        <f t="shared" si="3"/>
        <v>0</v>
      </c>
      <c r="G45" s="150" cm="1">
        <f t="array" ref="G45">-SUMPRODUCT((E3_Consommateurs!$D$21:$XFD$21=B1_Calculs!B45)*E3_Consommateurs!$D$23:$XFD$23)</f>
        <v>-362000</v>
      </c>
      <c r="H45" s="81">
        <f t="shared" ref="H45:H68" si="22">SUM(E45:G45)</f>
        <v>862000</v>
      </c>
      <c r="I45" s="150">
        <f>IF(H45&lt;=0,0,MIN(AT44,H45))</f>
        <v>0</v>
      </c>
      <c r="J45" s="86">
        <f t="shared" ref="J45:J68" si="23">AV45+AZ45</f>
        <v>932000</v>
      </c>
      <c r="K45" s="86">
        <f>K44-H45+SUM(I45:J45)</f>
        <v>70000</v>
      </c>
      <c r="L45" s="81">
        <f t="shared" ref="L45:L68" si="24">AL45</f>
        <v>-128383.82771052631</v>
      </c>
      <c r="M45" s="229">
        <f>IF(ISNUMBER(IRR((BD$44:BD44,BC45))),IRR((BD$44:BD44,BC45)),"-")</f>
        <v>-0.23087991876951652</v>
      </c>
      <c r="N45" s="80" cm="1">
        <f t="array" ref="N45">SUM((SUMPRODUCT((E3_Consommateurs!$D$21:$XFD$21&lt;B1_Calculs!B45)*E3_Consommateurs!$D$26:$XFD$26)+SUMPRODUCT((E3_Consommateurs!$D$21:$XFD$21=B1_Calculs!B45)*E3_Consommateurs!$D$26:$XFD$26*E3_Consommateurs!$D$20:$XFD$20))*(1+$G$30)^(B45-B$44),(SUMPRODUCT((E3_Consommateurs!$D$21:$XFD$21&lt;B1_Calculs!B45)*E3_Consommateurs!$D$27:$XFD$27)+SUMPRODUCT((E3_Consommateurs!$D$21:$XFD$21=B1_Calculs!B45)*E3_Consommateurs!$D$27:$XFD$27*E3_Consommateurs!$D$20:$XFD$20))*((1+$G$30)*(1-'E1_Données de projet'!$D$20/100))^(B45-B$44))</f>
        <v>60064.7</v>
      </c>
      <c r="O45" s="86">
        <f t="shared" si="4"/>
        <v>0</v>
      </c>
      <c r="P45" s="86">
        <f t="shared" si="5"/>
        <v>0</v>
      </c>
      <c r="Q45" s="150">
        <f t="shared" si="6"/>
        <v>0</v>
      </c>
      <c r="R45" s="82"/>
      <c r="S45" s="85"/>
      <c r="T45" s="84">
        <f t="shared" si="7"/>
        <v>60064.7</v>
      </c>
      <c r="U45" s="80">
        <f t="shared" si="8"/>
        <v>17396.593499999999</v>
      </c>
      <c r="V45" s="86">
        <f t="shared" si="9"/>
        <v>0</v>
      </c>
      <c r="W45" s="86">
        <f t="shared" si="10"/>
        <v>0</v>
      </c>
      <c r="X45" s="86">
        <f t="shared" si="11"/>
        <v>0</v>
      </c>
      <c r="Y45" s="81">
        <f t="shared" si="12"/>
        <v>0</v>
      </c>
      <c r="Z45" s="86">
        <f t="shared" si="13"/>
        <v>5701.1842105263158</v>
      </c>
      <c r="AA45" s="81">
        <f t="shared" si="14"/>
        <v>2166.4499999999998</v>
      </c>
      <c r="AB45" s="81">
        <f>($F$22*(1+$G$22)^(B45-B$44)+$F$23*(1+$G$23)^(B45-B$44))*(B45&gt;=Eing_JahrBegWLief)*VLOOKUP(B45,'E1_Données de projet'!$D$83:$I$87,6)/100</f>
        <v>22411.9</v>
      </c>
      <c r="AC45" s="81">
        <f>$F$24*(1+$G$24)^(B45-B$44)*(B45&gt;=Eing_JahrBegWLief)*VLOOKUP(B45,'E1_Données de projet'!$D$83:$I$87,6)/100</f>
        <v>31956.400000000001</v>
      </c>
      <c r="AD45" s="81">
        <f t="shared" si="15"/>
        <v>34946</v>
      </c>
      <c r="AE45" s="82"/>
      <c r="AF45" s="83"/>
      <c r="AG45" s="78">
        <f t="shared" si="16"/>
        <v>33000</v>
      </c>
      <c r="AH45" s="84">
        <f t="shared" ref="AH45:AH68" si="25">IF(AF45,SUM(AF45:AG45),SUM(U45:AG45))</f>
        <v>147578.52771052631</v>
      </c>
      <c r="AI45" s="80">
        <f t="shared" ref="AI45:AI68" si="26">SUM(AW45,BA45)</f>
        <v>0</v>
      </c>
      <c r="AJ45" s="86">
        <f t="shared" ref="AJ45:AJ68" si="27">SUM(AH45,AI45)</f>
        <v>147578.52771052631</v>
      </c>
      <c r="AK45" s="81">
        <f t="shared" ref="AK45:AK68" si="28">SUM(-AJ45,T45)</f>
        <v>-87513.827710526311</v>
      </c>
      <c r="AL45" s="87">
        <f t="shared" ref="AL45:AL68" si="29">AL44+AK45</f>
        <v>-128383.82771052631</v>
      </c>
      <c r="AM45" s="81">
        <f>('E1_Données de projet'!$D$68*(1+Eing_allg_Teuerung/100)^('E1_Données de projet'!$I$68*ROUNDDOWN((AS45-1)/'E1_Données de projet'!$I$68,0))/'E1_Données de projet'!$I$68
+'E1_Données de projet'!$D$69*(1+Eing_allg_Teuerung/100)^('E1_Données de projet'!$I$69*ROUNDDOWN((AS45-1)/'E1_Données de projet'!$I$69,0))/'E1_Données de projet'!$I$69
+'E1_Données de projet'!$D$70*(1+Eing_allg_Teuerung/100)^('E1_Données de projet'!$I$70*ROUNDDOWN((AS45-1)/'E1_Données de projet'!$I$69,0))/'E1_Données de projet'!$I$70
+'E1_Données de projet'!$D$71*(1+Eing_allg_Teuerung/100)^('E1_Données de projet'!$I$71*ROUNDDOWN((AS45-1)/'E1_Données de projet'!$I$69,0))/'E1_Données de projet'!$I$71
+'E1_Données de projet'!$D$72*(1+Eing_allg_Teuerung/100)^('E1_Données de projet'!$I$72*ROUNDDOWN((AS45-1)/'E1_Données de projet'!$I$69,0))/'E1_Données de projet'!$I$72
+'E1_Données de projet'!$D$74*(1+Eing_allg_Teuerung/100)^('E1_Données de projet'!$I$74*ROUNDDOWN((AS45-1)/'E1_Données de projet'!$I$69,0))/'E1_Données de projet'!$I$74
+'E1_Données de projet'!$D$75*(1+Eing_allg_Teuerung/100)^('E1_Données de projet'!$I$75*ROUNDDOWN((AS45-1)/'E1_Données de projet'!$I$75,0))/'E1_Données de projet'!$I$75
+'E1_Données de projet'!$D$76*(1+Eing_allg_Teuerung/100)^('E1_Données de projet'!$I$76*ROUNDDOWN((AS45-1)/'E1_Données de projet'!$I$76,0))/'E1_Données de projet'!$I$76
+'E1_Données de projet'!$D$77*(1+Eing_allg_Teuerung/100)^('E1_Données de projet'!$I$77*ROUNDDOWN((AS45-1)/'E1_Données de projet'!$I$77,0))/'E1_Données de projet'!$I$77
+'E1_Données de projet'!$D$78*(1+Eing_allg_Teuerung/100)^('E1_Données de projet'!$I$78*ROUNDDOWN((AS45-1)/'E1_Données de projet'!$I$78,0))/'E1_Données de projet'!$I$78
+'E1_Données de projet'!$D$80*(1+Eing_allg_Teuerung/100)^('E1_Données de projet'!$I$80*ROUNDDOWN((AS45-1)/'E1_Données de projet'!$I$69,0))/'E1_Données de projet'!$I$80
)*((AS45)&gt;0)*VLOOKUP(B45,'E1_Données de projet'!$D$83:$I$87,6
)/100</f>
        <v>0</v>
      </c>
      <c r="AN45" s="226">
        <f t="shared" ref="AN45:AN68" si="30">SUM(AH45,AM45)</f>
        <v>147578.52771052631</v>
      </c>
      <c r="AO45" s="226">
        <f t="shared" ref="AO45:AO68" si="31">SUM(T45,-AN45)</f>
        <v>-87513.827710526311</v>
      </c>
      <c r="AP45" s="229">
        <f>AP44+AO45</f>
        <v>-128383.82771052631</v>
      </c>
      <c r="AQ45" s="163" cm="1">
        <f t="array" ref="AQ45">IF(AS45-1&lt;=0,0,
(Eing_Kosten_Bau*(MOD((AS45-1),Eing_Nutzungsdauer_Bau)=0)
+Eing_Invest_HolzAnlage*(MOD((AS45-1),Eing_Nutzungsdauer_Holz)=0)
+Eing_Invest_WKKAnlage*(MOD((AS45-1),Eing_Nutzungsdauer_WKK)=0)
+Eing_Invest_WPAnlage*(MOD((AS45-1),Eing_Nutzungsdauer_WP)=0)
+Eing_Invest_SondenGrundwasser*(MOD((AS45-1),Eing_Nutzungsdauer_SondenGW)=0)
+Eing_Invest_AWN*(MOD((AS45-1),Eing_Nutzungsdauer_AWN)=0)
+Eing_Invest_Spitzenlast*(MOD((AS45-1),Eing_Nutzungsdauer_Spitzenlast)=0)
+Eing_Invest_Installationen*(MOD((AS45-1),Eing_Nutzungsdauer_Installationen)=0)
+Eing_Invest_Wärmenetz*(MOD((AS45-1),Eing_Nutzungsdauer_Netz)=0)
+Eing_Invest_Messung*(MOD((AS45-1),Eing_Nutzungsdauer_Messung)=0))*(1+Eing_allg_Teuerung/100)^(AS45-1))
+(Gesamtinvestition-SUM('E1_Données de projet'!$D$79:$D$80))*SUMPRODUCT(('E1_Données de projet'!$D$83:$D$87=B45)*'E1_Données de projet'!$F$83:$F$87)/100-AM45
+AQ44</f>
        <v>1687000</v>
      </c>
      <c r="AR45" s="88">
        <f t="shared" ref="AR45:AR68" si="32">-SUM(AX45,BB45)</f>
        <v>-1350000</v>
      </c>
      <c r="AS45" s="164">
        <f>MAX(B1_Calculs!B45-'E1_Données de projet'!$D$23,0)</f>
        <v>0</v>
      </c>
      <c r="AT45" s="34">
        <f>AT44-B1_Calculs!I45</f>
        <v>0</v>
      </c>
      <c r="AU45" s="34">
        <f t="shared" ref="AU45:AU68" si="33">AU44-AV44+(Eing_Kredit_1*(B45=Eing_Kreditstartjahr_1))</f>
        <v>850000</v>
      </c>
      <c r="AV45" s="34">
        <f>IF((SUM(H$44:H45)-SUM(I$44:I45))&lt;=AU45,MAX((SUM(H$44:H45)-SUM(I$44:I45)),0),AU45)</f>
        <v>850000</v>
      </c>
      <c r="AW45" s="34">
        <f t="shared" si="17"/>
        <v>0</v>
      </c>
      <c r="AX45" s="34">
        <f>AX44+AV45-AW45</f>
        <v>850000</v>
      </c>
      <c r="AY45" s="34">
        <f t="shared" ref="AY45:AY68" si="34">AY44-AZ44+(Eing_Kredit_2*(B45=Eing_Kreditstartjahr_2))</f>
        <v>82000</v>
      </c>
      <c r="AZ45" s="34">
        <f>IF((SUM(H$44:H45)-SUM(I$44:I45)-AV45)&lt;=AY45,MAX((SUM(H$44:H45)-SUM(I$44:I45)-AV45),0),AY45)</f>
        <v>82000</v>
      </c>
      <c r="BA45" s="34">
        <f t="shared" si="18"/>
        <v>0</v>
      </c>
      <c r="BB45" s="34">
        <f>BB44+AZ45-BA45</f>
        <v>500000</v>
      </c>
      <c r="BC45" s="89">
        <f t="shared" si="19"/>
        <v>737486.1722894737</v>
      </c>
      <c r="BD45" s="89">
        <f t="shared" si="20"/>
        <v>-949513.8277105263</v>
      </c>
    </row>
    <row r="46" spans="1:56" ht="12.95" customHeight="1" x14ac:dyDescent="0.2">
      <c r="B46" s="77">
        <f t="shared" ref="B46:B68" si="35">B45+1</f>
        <v>2026</v>
      </c>
      <c r="C46" s="78" cm="1">
        <f t="array" ref="C46">(SUMPRODUCT((E3_Consommateurs!$D$21:$XFD$21&lt;B1_Calculs!B46)*E3_Consommateurs!$D$18:$XFD$18)+SUMPRODUCT((E3_Consommateurs!$D$21:$XFD$21=B1_Calculs!B46)*E3_Consommateurs!$D$18:$XFD$18*E3_Consommateurs!$D$20:$XFD$20))/(100-Eing_Netzverluste)*100*(1-Eing_AbnW/100)^(B1_Calculs!B46-Eing_Beginnjahr)</f>
        <v>1415.1555000000001</v>
      </c>
      <c r="D46" s="79">
        <f t="shared" si="21"/>
        <v>69.186206381797078</v>
      </c>
      <c r="E46" s="81" cm="1">
        <f t="array" ref="E46">IF(AS46=0,0,
(Eing_Kosten_Bau*(MOD((AS46),Eing_Nutzungsdauer_Bau)=0)
+Eing_Invest_HolzAnlage*(MOD((AS46),Eing_Nutzungsdauer_Holz)=0)
+Eing_Invest_WKKAnlage*(MOD((AS46),Eing_Nutzungsdauer_WKK)=0)
+Eing_Invest_WPAnlage*(MOD((AS46),Eing_Nutzungsdauer_WP)=0)
+Eing_Invest_SondenGrundwasser*(MOD((AS46),Eing_Nutzungsdauer_SondenGW)=0)
+Eing_Invest_Zusatz*(MOD((AS46),Eing_Nutzungsdauer_Zusatz)=0)
+Eing_Invest_AWN*(MOD((AS46),Eing_Nutzungsdauer_AWN)=0)
+Eing_Invest_Spitzenlast*(MOD((AS46),Eing_Nutzungsdauer_Spitzenlast)=0)
+Eing_Invest_Installationen*(MOD((AS46),Eing_Nutzungsdauer_Installationen)=0)
+Eing_Invest_Wärmenetz*(MOD((AS46),Eing_Nutzungsdauer_Netz)=0)
+Eing_Invest_Messung*(MOD((AS46),Eing_Nutzungsdauer_Messung)=0))*(1+Eing_allg_Teuerung/100)^(AS46))
+Gesamtinvestition*SUMPRODUCT(('E1_Données de projet'!$D$83:$D$87=B46)*'E1_Données de projet'!$F$83:$F$87)/100</f>
        <v>306000</v>
      </c>
      <c r="F46" s="150">
        <f t="shared" si="3"/>
        <v>-300000</v>
      </c>
      <c r="G46" s="150" cm="1">
        <f t="array" ref="G46">-SUMPRODUCT((E3_Consommateurs!$D$21:$XFD$21=B1_Calculs!B46)*E3_Consommateurs!$D$23:$XFD$23)</f>
        <v>-414000</v>
      </c>
      <c r="H46" s="81">
        <f t="shared" si="22"/>
        <v>-408000</v>
      </c>
      <c r="I46" s="150">
        <f t="shared" ref="I46:I68" si="36">IF(H46&lt;=0,0,MIN(AT45,H46))</f>
        <v>0</v>
      </c>
      <c r="J46" s="86">
        <f t="shared" si="23"/>
        <v>0</v>
      </c>
      <c r="K46" s="86">
        <f t="shared" ref="K46:K68" si="37">K45-H46+SUM(I46:J46)</f>
        <v>478000</v>
      </c>
      <c r="L46" s="81">
        <f t="shared" si="24"/>
        <v>-176461.34641579306</v>
      </c>
      <c r="M46" s="229">
        <f>IF(ISNUMBER(IRR((BD$44:BD45,BC46))),IRR((BD$44:BD45,BC46)),"-")</f>
        <v>0.10079042641449298</v>
      </c>
      <c r="N46" s="80" cm="1">
        <f t="array" ref="N46">SUM((SUMPRODUCT((E3_Consommateurs!$D$21:$XFD$21&lt;B1_Calculs!B46)*E3_Consommateurs!$D$26:$XFD$26)+SUMPRODUCT((E3_Consommateurs!$D$21:$XFD$21=B1_Calculs!B46)*E3_Consommateurs!$D$26:$XFD$26*E3_Consommateurs!$D$20:$XFD$20))*(1+$G$30)^(B46-B$44),(SUMPRODUCT((E3_Consommateurs!$D$21:$XFD$21&lt;B1_Calculs!B46)*E3_Consommateurs!$D$27:$XFD$27)+SUMPRODUCT((E3_Consommateurs!$D$21:$XFD$21=B1_Calculs!B46)*E3_Consommateurs!$D$27:$XFD$27*E3_Consommateurs!$D$20:$XFD$20))*((1+$G$30)*(1-'E1_Données de projet'!$D$20/100))^(B46-B$44))</f>
        <v>210542.51429950001</v>
      </c>
      <c r="O46" s="86">
        <f t="shared" si="4"/>
        <v>0</v>
      </c>
      <c r="P46" s="86">
        <f t="shared" si="5"/>
        <v>0</v>
      </c>
      <c r="Q46" s="150">
        <f t="shared" si="6"/>
        <v>0</v>
      </c>
      <c r="R46" s="82"/>
      <c r="S46" s="85"/>
      <c r="T46" s="84">
        <f t="shared" si="7"/>
        <v>210542.51429950001</v>
      </c>
      <c r="U46" s="80">
        <f t="shared" si="8"/>
        <v>57960.545040832498</v>
      </c>
      <c r="V46" s="86">
        <f t="shared" si="9"/>
        <v>0</v>
      </c>
      <c r="W46" s="86">
        <f t="shared" si="10"/>
        <v>0</v>
      </c>
      <c r="X46" s="86">
        <f t="shared" si="11"/>
        <v>0</v>
      </c>
      <c r="Y46" s="81">
        <f t="shared" si="12"/>
        <v>0</v>
      </c>
      <c r="Z46" s="86">
        <f t="shared" si="13"/>
        <v>18994.738494078949</v>
      </c>
      <c r="AA46" s="81">
        <f t="shared" si="14"/>
        <v>7218.0006277500006</v>
      </c>
      <c r="AB46" s="81">
        <f>($F$22*(1+$G$22)^(B46-B$44)+$F$23*(1+$G$23)^(B46-B$44))*(B46&gt;=Eing_JahrBegWLief)*VLOOKUP(B46,'E1_Données de projet'!$D$83:$I$87,6)/100</f>
        <v>25869.736000000001</v>
      </c>
      <c r="AC46" s="81">
        <f>$F$24*(1+$G$24)^(B46-B$44)*(B46&gt;=Eing_JahrBegWLief)*VLOOKUP(B46,'E1_Données de projet'!$D$83:$I$87,6)/100</f>
        <v>36886.815999999999</v>
      </c>
      <c r="AD46" s="81">
        <f t="shared" si="15"/>
        <v>35295.46</v>
      </c>
      <c r="AE46" s="82"/>
      <c r="AF46" s="83"/>
      <c r="AG46" s="78">
        <f t="shared" si="16"/>
        <v>31657.894736842103</v>
      </c>
      <c r="AH46" s="84">
        <f t="shared" si="25"/>
        <v>213883.19089950356</v>
      </c>
      <c r="AI46" s="80">
        <f t="shared" si="26"/>
        <v>44736.84210526316</v>
      </c>
      <c r="AJ46" s="86">
        <f t="shared" si="27"/>
        <v>258620.03300476674</v>
      </c>
      <c r="AK46" s="81">
        <f t="shared" si="28"/>
        <v>-48077.518705266732</v>
      </c>
      <c r="AL46" s="87">
        <f t="shared" si="29"/>
        <v>-176461.34641579306</v>
      </c>
      <c r="AM46" s="81">
        <f>('E1_Données de projet'!$D$68*(1+Eing_allg_Teuerung/100)^('E1_Données de projet'!$I$68*ROUNDDOWN((AS46-1)/'E1_Données de projet'!$I$68,0))/'E1_Données de projet'!$I$68
+'E1_Données de projet'!$D$69*(1+Eing_allg_Teuerung/100)^('E1_Données de projet'!$I$69*ROUNDDOWN((AS46-1)/'E1_Données de projet'!$I$69,0))/'E1_Données de projet'!$I$69
+'E1_Données de projet'!$D$70*(1+Eing_allg_Teuerung/100)^('E1_Données de projet'!$I$70*ROUNDDOWN((AS46-1)/'E1_Données de projet'!$I$69,0))/'E1_Données de projet'!$I$70
+'E1_Données de projet'!$D$71*(1+Eing_allg_Teuerung/100)^('E1_Données de projet'!$I$71*ROUNDDOWN((AS46-1)/'E1_Données de projet'!$I$69,0))/'E1_Données de projet'!$I$71
+'E1_Données de projet'!$D$72*(1+Eing_allg_Teuerung/100)^('E1_Données de projet'!$I$72*ROUNDDOWN((AS46-1)/'E1_Données de projet'!$I$69,0))/'E1_Données de projet'!$I$72
+'E1_Données de projet'!$D$74*(1+Eing_allg_Teuerung/100)^('E1_Données de projet'!$I$74*ROUNDDOWN((AS46-1)/'E1_Données de projet'!$I$69,0))/'E1_Données de projet'!$I$74
+'E1_Données de projet'!$D$75*(1+Eing_allg_Teuerung/100)^('E1_Données de projet'!$I$75*ROUNDDOWN((AS46-1)/'E1_Données de projet'!$I$75,0))/'E1_Données de projet'!$I$75
+'E1_Données de projet'!$D$76*(1+Eing_allg_Teuerung/100)^('E1_Données de projet'!$I$76*ROUNDDOWN((AS46-1)/'E1_Données de projet'!$I$76,0))/'E1_Données de projet'!$I$76
+'E1_Données de projet'!$D$77*(1+Eing_allg_Teuerung/100)^('E1_Données de projet'!$I$77*ROUNDDOWN((AS46-1)/'E1_Données de projet'!$I$77,0))/'E1_Données de projet'!$I$77
+'E1_Données de projet'!$D$78*(1+Eing_allg_Teuerung/100)^('E1_Données de projet'!$I$78*ROUNDDOWN((AS46-1)/'E1_Données de projet'!$I$78,0))/'E1_Données de projet'!$I$78
+'E1_Données de projet'!$D$80*(1+Eing_allg_Teuerung/100)^('E1_Données de projet'!$I$80*ROUNDDOWN((AS46-1)/'E1_Données de projet'!$I$69,0))/'E1_Données de projet'!$I$80
)*((AS46)&gt;0)*VLOOKUP(B46,'E1_Données de projet'!$D$83:$I$87,6
)/100</f>
        <v>80806.03533849513</v>
      </c>
      <c r="AN46" s="226">
        <f t="shared" si="30"/>
        <v>294689.22623799869</v>
      </c>
      <c r="AO46" s="226">
        <f t="shared" si="31"/>
        <v>-84146.711938498687</v>
      </c>
      <c r="AP46" s="229">
        <f t="shared" ref="AP46:AP68" si="38">AP45+AO46</f>
        <v>-212530.53964902501</v>
      </c>
      <c r="AQ46" s="163" cm="1">
        <f t="array" ref="AQ46">IF(AS46-1&lt;=0,0,
(Eing_Kosten_Bau*(MOD((AS46-1),Eing_Nutzungsdauer_Bau)=0)
+Eing_Invest_HolzAnlage*(MOD((AS46-1),Eing_Nutzungsdauer_Holz)=0)
+Eing_Invest_WKKAnlage*(MOD((AS46-1),Eing_Nutzungsdauer_WKK)=0)
+Eing_Invest_WPAnlage*(MOD((AS46-1),Eing_Nutzungsdauer_WP)=0)
+Eing_Invest_SondenGrundwasser*(MOD((AS46-1),Eing_Nutzungsdauer_SondenGW)=0)
+Eing_Invest_AWN*(MOD((AS46-1),Eing_Nutzungsdauer_AWN)=0)
+Eing_Invest_Spitzenlast*(MOD((AS46-1),Eing_Nutzungsdauer_Spitzenlast)=0)
+Eing_Invest_Installationen*(MOD((AS46-1),Eing_Nutzungsdauer_Installationen)=0)
+Eing_Invest_Wärmenetz*(MOD((AS46-1),Eing_Nutzungsdauer_Netz)=0)
+Eing_Invest_Messung*(MOD((AS46-1),Eing_Nutzungsdauer_Messung)=0))*(1+Eing_allg_Teuerung/100)^(AS46-1))
+(Gesamtinvestition-SUM('E1_Données de projet'!$D$79:$D$80))*SUMPRODUCT(('E1_Données de projet'!$D$83:$D$87=B46)*'E1_Données de projet'!$F$83:$F$87)/100-AM46
+AQ45</f>
        <v>1847193.9646615048</v>
      </c>
      <c r="AR46" s="88">
        <f t="shared" si="32"/>
        <v>-1305263.1578947369</v>
      </c>
      <c r="AS46" s="164">
        <f>MAX(B1_Calculs!B46-'E1_Données de projet'!$D$23,0)</f>
        <v>1</v>
      </c>
      <c r="AT46" s="34">
        <f>AT45-B1_Calculs!I46</f>
        <v>0</v>
      </c>
      <c r="AU46" s="34">
        <f t="shared" si="33"/>
        <v>0</v>
      </c>
      <c r="AV46" s="34">
        <f>IF((SUM(H$44:H46)-SUM(I$44:I46))&lt;=AU46,MAX((SUM(H$44:H46)-SUM(I$44:I46)),0),AU46)</f>
        <v>0</v>
      </c>
      <c r="AW46" s="34">
        <f t="shared" si="17"/>
        <v>44736.84210526316</v>
      </c>
      <c r="AX46" s="34">
        <f t="shared" ref="AX46:AX68" si="39">AX45+AV46-AW46</f>
        <v>805263.15789473685</v>
      </c>
      <c r="AY46" s="34">
        <f t="shared" si="34"/>
        <v>0</v>
      </c>
      <c r="AZ46" s="34">
        <f>IF((SUM(H$44:H46)-SUM(I$44:I46)-AV46)&lt;=AY46,MAX((SUM(H$44:H46)-SUM(I$44:I46)-AV46),0),AY46)</f>
        <v>0</v>
      </c>
      <c r="BA46" s="34">
        <f t="shared" si="18"/>
        <v>0</v>
      </c>
      <c r="BB46" s="34">
        <f t="shared" ref="BB46:BB68" si="40">BB45+AZ46-BA46</f>
        <v>500000</v>
      </c>
      <c r="BC46" s="89">
        <f t="shared" si="19"/>
        <v>2207116.4459562381</v>
      </c>
      <c r="BD46" s="89">
        <f t="shared" si="20"/>
        <v>359922.48129473324</v>
      </c>
    </row>
    <row r="47" spans="1:56" ht="12.95" customHeight="1" x14ac:dyDescent="0.2">
      <c r="B47" s="77">
        <f t="shared" si="35"/>
        <v>2027</v>
      </c>
      <c r="C47" s="78" cm="1">
        <f t="array" ref="C47">(SUMPRODUCT((E3_Consommateurs!$D$21:$XFD$21&lt;B1_Calculs!B47)*E3_Consommateurs!$D$18:$XFD$18)+SUMPRODUCT((E3_Consommateurs!$D$21:$XFD$21=B1_Calculs!B47)*E3_Consommateurs!$D$18:$XFD$18*E3_Consommateurs!$D$20:$XFD$20))/(100-Eing_Netzverluste)*100*(1-Eing_AbnW/100)^(B1_Calculs!B47-Eing_Beginnjahr)</f>
        <v>2119.5642599999996</v>
      </c>
      <c r="D47" s="79">
        <f t="shared" si="21"/>
        <v>103.62437932215998</v>
      </c>
      <c r="E47" s="81" cm="1">
        <f t="array" ref="E47">IF(AS47=0,0,
(Eing_Kosten_Bau*(MOD((AS47),Eing_Nutzungsdauer_Bau)=0)
+Eing_Invest_HolzAnlage*(MOD((AS47),Eing_Nutzungsdauer_Holz)=0)
+Eing_Invest_WKKAnlage*(MOD((AS47),Eing_Nutzungsdauer_WKK)=0)
+Eing_Invest_WPAnlage*(MOD((AS47),Eing_Nutzungsdauer_WP)=0)
+Eing_Invest_SondenGrundwasser*(MOD((AS47),Eing_Nutzungsdauer_SondenGW)=0)
+Eing_Invest_Zusatz*(MOD((AS47),Eing_Nutzungsdauer_Zusatz)=0)
+Eing_Invest_AWN*(MOD((AS47),Eing_Nutzungsdauer_AWN)=0)
+Eing_Invest_Spitzenlast*(MOD((AS47),Eing_Nutzungsdauer_Spitzenlast)=0)
+Eing_Invest_Installationen*(MOD((AS47),Eing_Nutzungsdauer_Installationen)=0)
+Eing_Invest_Wärmenetz*(MOD((AS47),Eing_Nutzungsdauer_Netz)=0)
+Eing_Invest_Messung*(MOD((AS47),Eing_Nutzungsdauer_Messung)=0))*(1+Eing_allg_Teuerung/100)^(AS47))
+Gesamtinvestition*SUMPRODUCT(('E1_Données de projet'!$D$83:$D$87=B47)*'E1_Données de projet'!$F$83:$F$87)/100</f>
        <v>0</v>
      </c>
      <c r="F47" s="150">
        <f t="shared" si="3"/>
        <v>0</v>
      </c>
      <c r="G47" s="150" cm="1">
        <f t="array" ref="G47">-SUMPRODUCT((E3_Consommateurs!$D$21:$XFD$21=B1_Calculs!B47)*E3_Consommateurs!$D$23:$XFD$23)</f>
        <v>-350000</v>
      </c>
      <c r="H47" s="81">
        <f t="shared" si="22"/>
        <v>-350000</v>
      </c>
      <c r="I47" s="150">
        <f t="shared" si="36"/>
        <v>0</v>
      </c>
      <c r="J47" s="86">
        <f t="shared" si="23"/>
        <v>0</v>
      </c>
      <c r="K47" s="86">
        <f t="shared" si="37"/>
        <v>828000</v>
      </c>
      <c r="L47" s="81">
        <f t="shared" si="24"/>
        <v>-151468.19260604901</v>
      </c>
      <c r="M47" s="229">
        <f>IF(ISNUMBER(IRR((BD$44:BD46,BC47))),IRR((BD$44:BD46,BC47)),"-")</f>
        <v>0.12116737542550537</v>
      </c>
      <c r="N47" s="80" cm="1">
        <f t="array" ref="N47">SUM((SUMPRODUCT((E3_Consommateurs!$D$21:$XFD$21&lt;B1_Calculs!B47)*E3_Consommateurs!$D$26:$XFD$26)+SUMPRODUCT((E3_Consommateurs!$D$21:$XFD$21=B1_Calculs!B47)*E3_Consommateurs!$D$26:$XFD$26*E3_Consommateurs!$D$20:$XFD$20))*(1+$G$30)^(B47-B$44),(SUMPRODUCT((E3_Consommateurs!$D$21:$XFD$21&lt;B1_Calculs!B47)*E3_Consommateurs!$D$27:$XFD$27)+SUMPRODUCT((E3_Consommateurs!$D$21:$XFD$21=B1_Calculs!B47)*E3_Consommateurs!$D$27:$XFD$27*E3_Consommateurs!$D$20:$XFD$20))*((1+$G$30)*(1-'E1_Données de projet'!$D$20/100))^(B47-B$44))</f>
        <v>326410.46694780339</v>
      </c>
      <c r="O47" s="86">
        <f t="shared" si="4"/>
        <v>0</v>
      </c>
      <c r="P47" s="86">
        <f t="shared" si="5"/>
        <v>0</v>
      </c>
      <c r="Q47" s="150">
        <f t="shared" si="6"/>
        <v>0</v>
      </c>
      <c r="R47" s="82"/>
      <c r="S47" s="85"/>
      <c r="T47" s="84">
        <f t="shared" si="7"/>
        <v>326410.46694780339</v>
      </c>
      <c r="U47" s="80">
        <f t="shared" si="8"/>
        <v>87679.135442186729</v>
      </c>
      <c r="V47" s="86">
        <f t="shared" si="9"/>
        <v>0</v>
      </c>
      <c r="W47" s="86">
        <f t="shared" si="10"/>
        <v>0</v>
      </c>
      <c r="X47" s="86">
        <f t="shared" si="11"/>
        <v>0</v>
      </c>
      <c r="Y47" s="81">
        <f t="shared" si="12"/>
        <v>0</v>
      </c>
      <c r="Z47" s="86">
        <f t="shared" si="13"/>
        <v>28734.06811371394</v>
      </c>
      <c r="AA47" s="81">
        <f t="shared" si="14"/>
        <v>10918.945883211298</v>
      </c>
      <c r="AB47" s="81">
        <f>($F$22*(1+$G$22)^(B47-B$44)+$F$23*(1+$G$23)^(B47-B$44))*(B47&gt;=Eing_JahrBegWLief)*VLOOKUP(B47,'E1_Données de projet'!$D$83:$I$87,6)/100</f>
        <v>26128.433359999995</v>
      </c>
      <c r="AC47" s="81">
        <f>$F$24*(1+$G$24)^(B47-B$44)*(B47&gt;=Eing_JahrBegWLief)*VLOOKUP(B47,'E1_Données de projet'!$D$83:$I$87,6)/100</f>
        <v>37255.684159999997</v>
      </c>
      <c r="AD47" s="81">
        <f t="shared" si="15"/>
        <v>35648.414599999996</v>
      </c>
      <c r="AE47" s="82"/>
      <c r="AF47" s="83"/>
      <c r="AG47" s="78">
        <f t="shared" si="16"/>
        <v>30315.78947368421</v>
      </c>
      <c r="AH47" s="84">
        <f t="shared" si="25"/>
        <v>256680.47103279617</v>
      </c>
      <c r="AI47" s="80">
        <f t="shared" si="26"/>
        <v>44736.84210526316</v>
      </c>
      <c r="AJ47" s="86">
        <f t="shared" si="27"/>
        <v>301417.31313805934</v>
      </c>
      <c r="AK47" s="81">
        <f t="shared" si="28"/>
        <v>24993.15380974405</v>
      </c>
      <c r="AL47" s="87">
        <f t="shared" si="29"/>
        <v>-151468.19260604901</v>
      </c>
      <c r="AM47" s="81">
        <f>('E1_Données de projet'!$D$68*(1+Eing_allg_Teuerung/100)^('E1_Données de projet'!$I$68*ROUNDDOWN((AS47-1)/'E1_Données de projet'!$I$68,0))/'E1_Données de projet'!$I$68
+'E1_Données de projet'!$D$69*(1+Eing_allg_Teuerung/100)^('E1_Données de projet'!$I$69*ROUNDDOWN((AS47-1)/'E1_Données de projet'!$I$69,0))/'E1_Données de projet'!$I$69
+'E1_Données de projet'!$D$70*(1+Eing_allg_Teuerung/100)^('E1_Données de projet'!$I$70*ROUNDDOWN((AS47-1)/'E1_Données de projet'!$I$69,0))/'E1_Données de projet'!$I$70
+'E1_Données de projet'!$D$71*(1+Eing_allg_Teuerung/100)^('E1_Données de projet'!$I$71*ROUNDDOWN((AS47-1)/'E1_Données de projet'!$I$69,0))/'E1_Données de projet'!$I$71
+'E1_Données de projet'!$D$72*(1+Eing_allg_Teuerung/100)^('E1_Données de projet'!$I$72*ROUNDDOWN((AS47-1)/'E1_Données de projet'!$I$69,0))/'E1_Données de projet'!$I$72
+'E1_Données de projet'!$D$74*(1+Eing_allg_Teuerung/100)^('E1_Données de projet'!$I$74*ROUNDDOWN((AS47-1)/'E1_Données de projet'!$I$69,0))/'E1_Données de projet'!$I$74
+'E1_Données de projet'!$D$75*(1+Eing_allg_Teuerung/100)^('E1_Données de projet'!$I$75*ROUNDDOWN((AS47-1)/'E1_Données de projet'!$I$75,0))/'E1_Données de projet'!$I$75
+'E1_Données de projet'!$D$76*(1+Eing_allg_Teuerung/100)^('E1_Données de projet'!$I$76*ROUNDDOWN((AS47-1)/'E1_Données de projet'!$I$76,0))/'E1_Données de projet'!$I$76
+'E1_Données de projet'!$D$77*(1+Eing_allg_Teuerung/100)^('E1_Données de projet'!$I$77*ROUNDDOWN((AS47-1)/'E1_Données de projet'!$I$77,0))/'E1_Données de projet'!$I$77
+'E1_Données de projet'!$D$78*(1+Eing_allg_Teuerung/100)^('E1_Données de projet'!$I$78*ROUNDDOWN((AS47-1)/'E1_Données de projet'!$I$78,0))/'E1_Données de projet'!$I$78
+'E1_Données de projet'!$D$80*(1+Eing_allg_Teuerung/100)^('E1_Données de projet'!$I$80*ROUNDDOWN((AS47-1)/'E1_Données de projet'!$I$69,0))/'E1_Données de projet'!$I$80
)*((AS47)&gt;0)*VLOOKUP(B47,'E1_Données de projet'!$D$83:$I$87,6
)/100</f>
        <v>80806.03533849513</v>
      </c>
      <c r="AN47" s="226">
        <f t="shared" si="30"/>
        <v>337486.5063712913</v>
      </c>
      <c r="AO47" s="226">
        <f t="shared" si="31"/>
        <v>-11076.039423487906</v>
      </c>
      <c r="AP47" s="229">
        <f t="shared" si="38"/>
        <v>-223606.57907251292</v>
      </c>
      <c r="AQ47" s="163" cm="1">
        <f t="array" ref="AQ47">IF(AS47-1&lt;=0,0,
(Eing_Kosten_Bau*(MOD((AS47-1),Eing_Nutzungsdauer_Bau)=0)
+Eing_Invest_HolzAnlage*(MOD((AS47-1),Eing_Nutzungsdauer_Holz)=0)
+Eing_Invest_WKKAnlage*(MOD((AS47-1),Eing_Nutzungsdauer_WKK)=0)
+Eing_Invest_WPAnlage*(MOD((AS47-1),Eing_Nutzungsdauer_WP)=0)
+Eing_Invest_SondenGrundwasser*(MOD((AS47-1),Eing_Nutzungsdauer_SondenGW)=0)
+Eing_Invest_AWN*(MOD((AS47-1),Eing_Nutzungsdauer_AWN)=0)
+Eing_Invest_Spitzenlast*(MOD((AS47-1),Eing_Nutzungsdauer_Spitzenlast)=0)
+Eing_Invest_Installationen*(MOD((AS47-1),Eing_Nutzungsdauer_Installationen)=0)
+Eing_Invest_Wärmenetz*(MOD((AS47-1),Eing_Nutzungsdauer_Netz)=0)
+Eing_Invest_Messung*(MOD((AS47-1),Eing_Nutzungsdauer_Messung)=0))*(1+Eing_allg_Teuerung/100)^(AS47-1))
+(Gesamtinvestition-SUM('E1_Données de projet'!$D$79:$D$80))*SUMPRODUCT(('E1_Données de projet'!$D$83:$D$87=B47)*'E1_Données de projet'!$F$83:$F$87)/100-AM47
+AQ46</f>
        <v>1766387.9293230097</v>
      </c>
      <c r="AR47" s="88">
        <f t="shared" si="32"/>
        <v>-1260526.3157894737</v>
      </c>
      <c r="AS47" s="164">
        <f>MAX(B1_Calculs!B47-'E1_Données de projet'!$D$23,0)</f>
        <v>2</v>
      </c>
      <c r="AT47" s="34">
        <f>AT46-B1_Calculs!I47</f>
        <v>0</v>
      </c>
      <c r="AU47" s="34">
        <f t="shared" si="33"/>
        <v>0</v>
      </c>
      <c r="AV47" s="34">
        <f>IF((SUM(H$44:H47)-SUM(I$44:I47))&lt;=AU47,MAX((SUM(H$44:H47)-SUM(I$44:I47)),0),AU47)</f>
        <v>0</v>
      </c>
      <c r="AW47" s="34">
        <f t="shared" si="17"/>
        <v>44736.84210526316</v>
      </c>
      <c r="AX47" s="34">
        <f t="shared" si="39"/>
        <v>760526.31578947371</v>
      </c>
      <c r="AY47" s="34">
        <f t="shared" si="34"/>
        <v>0</v>
      </c>
      <c r="AZ47" s="34">
        <f>IF((SUM(H$44:H47)-SUM(I$44:I47)-AV47)&lt;=AY47,MAX((SUM(H$44:H47)-SUM(I$44:I47)-AV47),0),AY47)</f>
        <v>0</v>
      </c>
      <c r="BA47" s="34">
        <f t="shared" si="18"/>
        <v>0</v>
      </c>
      <c r="BB47" s="34">
        <f t="shared" si="40"/>
        <v>500000</v>
      </c>
      <c r="BC47" s="89">
        <f t="shared" si="19"/>
        <v>2141381.0831327536</v>
      </c>
      <c r="BD47" s="89">
        <f t="shared" si="20"/>
        <v>374993.15380974405</v>
      </c>
    </row>
    <row r="48" spans="1:56" ht="12.95" customHeight="1" x14ac:dyDescent="0.2">
      <c r="B48" s="77">
        <f t="shared" si="35"/>
        <v>2028</v>
      </c>
      <c r="C48" s="78" cm="1">
        <f t="array" ref="C48">(SUMPRODUCT((E3_Consommateurs!$D$21:$XFD$21&lt;B1_Calculs!B48)*E3_Consommateurs!$D$18:$XFD$18)+SUMPRODUCT((E3_Consommateurs!$D$21:$XFD$21=B1_Calculs!B48)*E3_Consommateurs!$D$18:$XFD$18*E3_Consommateurs!$D$20:$XFD$20))/(100-Eing_Netzverluste)*100*(1-Eing_AbnW/100)^(B1_Calculs!B48-Eing_Beginnjahr)</f>
        <v>2372.6721447</v>
      </c>
      <c r="D48" s="79">
        <f t="shared" si="21"/>
        <v>115.99869037682097</v>
      </c>
      <c r="E48" s="81" cm="1">
        <f t="array" ref="E48">IF(AS48=0,0,
(Eing_Kosten_Bau*(MOD((AS48),Eing_Nutzungsdauer_Bau)=0)
+Eing_Invest_HolzAnlage*(MOD((AS48),Eing_Nutzungsdauer_Holz)=0)
+Eing_Invest_WKKAnlage*(MOD((AS48),Eing_Nutzungsdauer_WKK)=0)
+Eing_Invest_WPAnlage*(MOD((AS48),Eing_Nutzungsdauer_WP)=0)
+Eing_Invest_SondenGrundwasser*(MOD((AS48),Eing_Nutzungsdauer_SondenGW)=0)
+Eing_Invest_Zusatz*(MOD((AS48),Eing_Nutzungsdauer_Zusatz)=0)
+Eing_Invest_AWN*(MOD((AS48),Eing_Nutzungsdauer_AWN)=0)
+Eing_Invest_Spitzenlast*(MOD((AS48),Eing_Nutzungsdauer_Spitzenlast)=0)
+Eing_Invest_Installationen*(MOD((AS48),Eing_Nutzungsdauer_Installationen)=0)
+Eing_Invest_Wärmenetz*(MOD((AS48),Eing_Nutzungsdauer_Netz)=0)
+Eing_Invest_Messung*(MOD((AS48),Eing_Nutzungsdauer_Messung)=0))*(1+Eing_allg_Teuerung/100)^(AS48))
+Gesamtinvestition*SUMPRODUCT(('E1_Données de projet'!$D$83:$D$87=B48)*'E1_Données de projet'!$F$83:$F$87)/100</f>
        <v>0</v>
      </c>
      <c r="F48" s="150">
        <f t="shared" si="3"/>
        <v>0</v>
      </c>
      <c r="G48" s="150" cm="1">
        <f t="array" ref="G48">-SUMPRODUCT((E3_Consommateurs!$D$21:$XFD$21=B1_Calculs!B48)*E3_Consommateurs!$D$23:$XFD$23)</f>
        <v>0</v>
      </c>
      <c r="H48" s="81">
        <f t="shared" si="22"/>
        <v>0</v>
      </c>
      <c r="I48" s="150">
        <f t="shared" si="36"/>
        <v>0</v>
      </c>
      <c r="J48" s="86">
        <f t="shared" si="23"/>
        <v>0</v>
      </c>
      <c r="K48" s="86">
        <f t="shared" si="37"/>
        <v>828000</v>
      </c>
      <c r="L48" s="81">
        <f t="shared" si="24"/>
        <v>-97376.96306918154</v>
      </c>
      <c r="M48" s="229">
        <f>IF(ISNUMBER(IRR((BD$44:BD47,BC48))),IRR((BD$44:BD47,BC48)),"-")</f>
        <v>8.9007050416283651E-2</v>
      </c>
      <c r="N48" s="80" cm="1">
        <f t="array" ref="N48">SUM((SUMPRODUCT((E3_Consommateurs!$D$21:$XFD$21&lt;B1_Calculs!B48)*E3_Consommateurs!$D$26:$XFD$26)+SUMPRODUCT((E3_Consommateurs!$D$21:$XFD$21=B1_Calculs!B48)*E3_Consommateurs!$D$26:$XFD$26*E3_Consommateurs!$D$20:$XFD$20))*(1+$G$30)^(B48-B$44),(SUMPRODUCT((E3_Consommateurs!$D$21:$XFD$21&lt;B1_Calculs!B48)*E3_Consommateurs!$D$27:$XFD$27)+SUMPRODUCT((E3_Consommateurs!$D$21:$XFD$21=B1_Calculs!B48)*E3_Consommateurs!$D$27:$XFD$27*E3_Consommateurs!$D$20:$XFD$20))*((1+$G$30)*(1-'E1_Données de projet'!$D$20/100))^(B48-B$44))</f>
        <v>371787.51373451087</v>
      </c>
      <c r="O48" s="86">
        <f t="shared" si="4"/>
        <v>0</v>
      </c>
      <c r="P48" s="86">
        <f t="shared" si="5"/>
        <v>0</v>
      </c>
      <c r="Q48" s="150">
        <f t="shared" si="6"/>
        <v>0</v>
      </c>
      <c r="R48" s="82"/>
      <c r="S48" s="85"/>
      <c r="T48" s="84">
        <f t="shared" si="7"/>
        <v>371787.51373451087</v>
      </c>
      <c r="U48" s="80">
        <f t="shared" si="8"/>
        <v>99130.837749833314</v>
      </c>
      <c r="V48" s="86">
        <f t="shared" si="9"/>
        <v>0</v>
      </c>
      <c r="W48" s="86">
        <f t="shared" si="10"/>
        <v>0</v>
      </c>
      <c r="X48" s="86">
        <f t="shared" si="11"/>
        <v>0</v>
      </c>
      <c r="Y48" s="81">
        <f t="shared" si="12"/>
        <v>0</v>
      </c>
      <c r="Z48" s="86">
        <f t="shared" si="13"/>
        <v>32487.001949869998</v>
      </c>
      <c r="AA48" s="81">
        <f t="shared" si="14"/>
        <v>12345.060740950599</v>
      </c>
      <c r="AB48" s="81">
        <f>($F$22*(1+$G$22)^(B48-B$44)+$F$23*(1+$G$23)^(B48-B$44))*(B48&gt;=Eing_JahrBegWLief)*VLOOKUP(B48,'E1_Données de projet'!$D$83:$I$87,6)/100</f>
        <v>26389.717693600003</v>
      </c>
      <c r="AC48" s="81">
        <f>$F$24*(1+$G$24)^(B48-B$44)*(B48&gt;=Eing_JahrBegWLief)*VLOOKUP(B48,'E1_Données de projet'!$D$83:$I$87,6)/100</f>
        <v>37628.241001599999</v>
      </c>
      <c r="AD48" s="81">
        <f t="shared" si="15"/>
        <v>36004.898746000006</v>
      </c>
      <c r="AE48" s="82"/>
      <c r="AF48" s="83"/>
      <c r="AG48" s="78">
        <f t="shared" si="16"/>
        <v>28973.68421052632</v>
      </c>
      <c r="AH48" s="84">
        <f t="shared" si="25"/>
        <v>272959.44209238025</v>
      </c>
      <c r="AI48" s="80">
        <f t="shared" si="26"/>
        <v>44736.84210526316</v>
      </c>
      <c r="AJ48" s="86">
        <f t="shared" si="27"/>
        <v>317696.2841976434</v>
      </c>
      <c r="AK48" s="81">
        <f t="shared" si="28"/>
        <v>54091.229536867468</v>
      </c>
      <c r="AL48" s="87">
        <f t="shared" si="29"/>
        <v>-97376.96306918154</v>
      </c>
      <c r="AM48" s="81">
        <f>('E1_Données de projet'!$D$68*(1+Eing_allg_Teuerung/100)^('E1_Données de projet'!$I$68*ROUNDDOWN((AS48-1)/'E1_Données de projet'!$I$68,0))/'E1_Données de projet'!$I$68
+'E1_Données de projet'!$D$69*(1+Eing_allg_Teuerung/100)^('E1_Données de projet'!$I$69*ROUNDDOWN((AS48-1)/'E1_Données de projet'!$I$69,0))/'E1_Données de projet'!$I$69
+'E1_Données de projet'!$D$70*(1+Eing_allg_Teuerung/100)^('E1_Données de projet'!$I$70*ROUNDDOWN((AS48-1)/'E1_Données de projet'!$I$69,0))/'E1_Données de projet'!$I$70
+'E1_Données de projet'!$D$71*(1+Eing_allg_Teuerung/100)^('E1_Données de projet'!$I$71*ROUNDDOWN((AS48-1)/'E1_Données de projet'!$I$69,0))/'E1_Données de projet'!$I$71
+'E1_Données de projet'!$D$72*(1+Eing_allg_Teuerung/100)^('E1_Données de projet'!$I$72*ROUNDDOWN((AS48-1)/'E1_Données de projet'!$I$69,0))/'E1_Données de projet'!$I$72
+'E1_Données de projet'!$D$74*(1+Eing_allg_Teuerung/100)^('E1_Données de projet'!$I$74*ROUNDDOWN((AS48-1)/'E1_Données de projet'!$I$69,0))/'E1_Données de projet'!$I$74
+'E1_Données de projet'!$D$75*(1+Eing_allg_Teuerung/100)^('E1_Données de projet'!$I$75*ROUNDDOWN((AS48-1)/'E1_Données de projet'!$I$75,0))/'E1_Données de projet'!$I$75
+'E1_Données de projet'!$D$76*(1+Eing_allg_Teuerung/100)^('E1_Données de projet'!$I$76*ROUNDDOWN((AS48-1)/'E1_Données de projet'!$I$76,0))/'E1_Données de projet'!$I$76
+'E1_Données de projet'!$D$77*(1+Eing_allg_Teuerung/100)^('E1_Données de projet'!$I$77*ROUNDDOWN((AS48-1)/'E1_Données de projet'!$I$77,0))/'E1_Données de projet'!$I$77
+'E1_Données de projet'!$D$78*(1+Eing_allg_Teuerung/100)^('E1_Données de projet'!$I$78*ROUNDDOWN((AS48-1)/'E1_Données de projet'!$I$78,0))/'E1_Données de projet'!$I$78
+'E1_Données de projet'!$D$80*(1+Eing_allg_Teuerung/100)^('E1_Données de projet'!$I$80*ROUNDDOWN((AS48-1)/'E1_Données de projet'!$I$69,0))/'E1_Données de projet'!$I$80
)*((AS48)&gt;0)*VLOOKUP(B48,'E1_Données de projet'!$D$83:$I$87,6
)/100</f>
        <v>80806.03533849513</v>
      </c>
      <c r="AN48" s="226">
        <f t="shared" si="30"/>
        <v>353765.47743087541</v>
      </c>
      <c r="AO48" s="226">
        <f t="shared" si="31"/>
        <v>18022.036303635454</v>
      </c>
      <c r="AP48" s="229">
        <f t="shared" si="38"/>
        <v>-205584.54276887747</v>
      </c>
      <c r="AQ48" s="163" cm="1">
        <f t="array" ref="AQ48">IF(AS48-1&lt;=0,0,
(Eing_Kosten_Bau*(MOD((AS48-1),Eing_Nutzungsdauer_Bau)=0)
+Eing_Invest_HolzAnlage*(MOD((AS48-1),Eing_Nutzungsdauer_Holz)=0)
+Eing_Invest_WKKAnlage*(MOD((AS48-1),Eing_Nutzungsdauer_WKK)=0)
+Eing_Invest_WPAnlage*(MOD((AS48-1),Eing_Nutzungsdauer_WP)=0)
+Eing_Invest_SondenGrundwasser*(MOD((AS48-1),Eing_Nutzungsdauer_SondenGW)=0)
+Eing_Invest_AWN*(MOD((AS48-1),Eing_Nutzungsdauer_AWN)=0)
+Eing_Invest_Spitzenlast*(MOD((AS48-1),Eing_Nutzungsdauer_Spitzenlast)=0)
+Eing_Invest_Installationen*(MOD((AS48-1),Eing_Nutzungsdauer_Installationen)=0)
+Eing_Invest_Wärmenetz*(MOD((AS48-1),Eing_Nutzungsdauer_Netz)=0)
+Eing_Invest_Messung*(MOD((AS48-1),Eing_Nutzungsdauer_Messung)=0))*(1+Eing_allg_Teuerung/100)^(AS48-1))
+(Gesamtinvestition-SUM('E1_Données de projet'!$D$79:$D$80))*SUMPRODUCT(('E1_Données de projet'!$D$83:$D$87=B48)*'E1_Données de projet'!$F$83:$F$87)/100-AM48
+AQ47</f>
        <v>1685581.8939845145</v>
      </c>
      <c r="AR48" s="88">
        <f t="shared" si="32"/>
        <v>-1215789.4736842106</v>
      </c>
      <c r="AS48" s="164">
        <f>MAX(B1_Calculs!B48-'E1_Données de projet'!$D$23,0)</f>
        <v>3</v>
      </c>
      <c r="AT48" s="34">
        <f>AT47-B1_Calculs!I48</f>
        <v>0</v>
      </c>
      <c r="AU48" s="34">
        <f t="shared" si="33"/>
        <v>0</v>
      </c>
      <c r="AV48" s="34">
        <f>IF((SUM(H$44:H48)-SUM(I$44:I48))&lt;=AU48,MAX((SUM(H$44:H48)-SUM(I$44:I48)),0),AU48)</f>
        <v>0</v>
      </c>
      <c r="AW48" s="34">
        <f t="shared" si="17"/>
        <v>44736.84210526316</v>
      </c>
      <c r="AX48" s="34">
        <f t="shared" si="39"/>
        <v>715789.47368421056</v>
      </c>
      <c r="AY48" s="34">
        <f t="shared" si="34"/>
        <v>0</v>
      </c>
      <c r="AZ48" s="34">
        <f>IF((SUM(H$44:H48)-SUM(I$44:I48)-AV48)&lt;=AY48,MAX((SUM(H$44:H48)-SUM(I$44:I48)-AV48),0),AY48)</f>
        <v>0</v>
      </c>
      <c r="BA48" s="34">
        <f t="shared" si="18"/>
        <v>0</v>
      </c>
      <c r="BB48" s="34">
        <f t="shared" si="40"/>
        <v>500000</v>
      </c>
      <c r="BC48" s="89">
        <f t="shared" si="19"/>
        <v>1739673.123521382</v>
      </c>
      <c r="BD48" s="89">
        <f t="shared" si="20"/>
        <v>54091.229536867468</v>
      </c>
    </row>
    <row r="49" spans="2:56" ht="12.95" customHeight="1" x14ac:dyDescent="0.2">
      <c r="B49" s="77">
        <f t="shared" si="35"/>
        <v>2029</v>
      </c>
      <c r="C49" s="78" cm="1">
        <f t="array" ref="C49">(SUMPRODUCT((E3_Consommateurs!$D$21:$XFD$21&lt;B1_Calculs!B49)*E3_Consommateurs!$D$18:$XFD$18)+SUMPRODUCT((E3_Consommateurs!$D$21:$XFD$21=B1_Calculs!B49)*E3_Consommateurs!$D$18:$XFD$18*E3_Consommateurs!$D$20:$XFD$20))/(100-Eing_Netzverluste)*100*(1-Eing_AbnW/100)^(B1_Calculs!B49-Eing_Beginnjahr)</f>
        <v>2348.9454232529997</v>
      </c>
      <c r="D49" s="79">
        <f t="shared" si="21"/>
        <v>114.83870347305276</v>
      </c>
      <c r="E49" s="81" cm="1">
        <f t="array" ref="E49">IF(AS49=0,0,
(Eing_Kosten_Bau*(MOD((AS49),Eing_Nutzungsdauer_Bau)=0)
+Eing_Invest_HolzAnlage*(MOD((AS49),Eing_Nutzungsdauer_Holz)=0)
+Eing_Invest_WKKAnlage*(MOD((AS49),Eing_Nutzungsdauer_WKK)=0)
+Eing_Invest_WPAnlage*(MOD((AS49),Eing_Nutzungsdauer_WP)=0)
+Eing_Invest_SondenGrundwasser*(MOD((AS49),Eing_Nutzungsdauer_SondenGW)=0)
+Eing_Invest_Zusatz*(MOD((AS49),Eing_Nutzungsdauer_Zusatz)=0)
+Eing_Invest_AWN*(MOD((AS49),Eing_Nutzungsdauer_AWN)=0)
+Eing_Invest_Spitzenlast*(MOD((AS49),Eing_Nutzungsdauer_Spitzenlast)=0)
+Eing_Invest_Installationen*(MOD((AS49),Eing_Nutzungsdauer_Installationen)=0)
+Eing_Invest_Wärmenetz*(MOD((AS49),Eing_Nutzungsdauer_Netz)=0)
+Eing_Invest_Messung*(MOD((AS49),Eing_Nutzungsdauer_Messung)=0))*(1+Eing_allg_Teuerung/100)^(AS49))
+Gesamtinvestition*SUMPRODUCT(('E1_Données de projet'!$D$83:$D$87=B49)*'E1_Données de projet'!$F$83:$F$87)/100</f>
        <v>0</v>
      </c>
      <c r="F49" s="150">
        <f t="shared" si="3"/>
        <v>0</v>
      </c>
      <c r="G49" s="150" cm="1">
        <f t="array" ref="G49">-SUMPRODUCT((E3_Consommateurs!$D$21:$XFD$21=B1_Calculs!B49)*E3_Consommateurs!$D$23:$XFD$23)</f>
        <v>0</v>
      </c>
      <c r="H49" s="81">
        <f t="shared" si="22"/>
        <v>0</v>
      </c>
      <c r="I49" s="150">
        <f t="shared" si="36"/>
        <v>0</v>
      </c>
      <c r="J49" s="86">
        <f t="shared" si="23"/>
        <v>0</v>
      </c>
      <c r="K49" s="86">
        <f t="shared" si="37"/>
        <v>828000</v>
      </c>
      <c r="L49" s="81">
        <f t="shared" si="24"/>
        <v>-41455.917458883778</v>
      </c>
      <c r="M49" s="229">
        <f>IF(ISNUMBER(IRR((BD$44:BD48,BC49))),IRR((BD$44:BD48,BC49)),"-")</f>
        <v>6.9925477099452626E-2</v>
      </c>
      <c r="N49" s="80" cm="1">
        <f t="array" ref="N49">SUM((SUMPRODUCT((E3_Consommateurs!$D$21:$XFD$21&lt;B1_Calculs!B49)*E3_Consommateurs!$D$26:$XFD$26)+SUMPRODUCT((E3_Consommateurs!$D$21:$XFD$21=B1_Calculs!B49)*E3_Consommateurs!$D$26:$XFD$26*E3_Consommateurs!$D$20:$XFD$20))*(1+$G$30)^(B49-B$44),(SUMPRODUCT((E3_Consommateurs!$D$21:$XFD$21&lt;B1_Calculs!B49)*E3_Consommateurs!$D$27:$XFD$27)+SUMPRODUCT((E3_Consommateurs!$D$21:$XFD$21=B1_Calculs!B49)*E3_Consommateurs!$D$27:$XFD$27*E3_Consommateurs!$D$20:$XFD$20))*((1+$G$30)*(1-'E1_Données de projet'!$D$20/100))^(B49-B$44))</f>
        <v>373261.05682915112</v>
      </c>
      <c r="O49" s="86">
        <f t="shared" si="4"/>
        <v>0</v>
      </c>
      <c r="P49" s="86">
        <f t="shared" si="5"/>
        <v>0</v>
      </c>
      <c r="Q49" s="150">
        <f t="shared" si="6"/>
        <v>0</v>
      </c>
      <c r="R49" s="82"/>
      <c r="S49" s="85"/>
      <c r="T49" s="84">
        <f t="shared" si="7"/>
        <v>373261.05682915112</v>
      </c>
      <c r="U49" s="80">
        <f t="shared" si="8"/>
        <v>99120.924666058316</v>
      </c>
      <c r="V49" s="86">
        <f t="shared" si="9"/>
        <v>0</v>
      </c>
      <c r="W49" s="86">
        <f t="shared" si="10"/>
        <v>0</v>
      </c>
      <c r="X49" s="86">
        <f t="shared" si="11"/>
        <v>0</v>
      </c>
      <c r="Y49" s="81">
        <f t="shared" si="12"/>
        <v>0</v>
      </c>
      <c r="Z49" s="86">
        <f t="shared" si="13"/>
        <v>32483.75324967501</v>
      </c>
      <c r="AA49" s="81">
        <f t="shared" si="14"/>
        <v>12343.826234876506</v>
      </c>
      <c r="AB49" s="81">
        <f>($F$22*(1+$G$22)^(B49-B$44)+$F$23*(1+$G$23)^(B49-B$44))*(B49&gt;=Eing_JahrBegWLief)*VLOOKUP(B49,'E1_Données de projet'!$D$83:$I$87,6)/100</f>
        <v>26653.614870536003</v>
      </c>
      <c r="AC49" s="81">
        <f>$F$24*(1+$G$24)^(B49-B$44)*(B49&gt;=Eing_JahrBegWLief)*VLOOKUP(B49,'E1_Données de projet'!$D$83:$I$87,6)/100</f>
        <v>38004.523411615992</v>
      </c>
      <c r="AD49" s="81">
        <f t="shared" si="15"/>
        <v>36364.947733460001</v>
      </c>
      <c r="AE49" s="82"/>
      <c r="AF49" s="83"/>
      <c r="AG49" s="78">
        <f t="shared" si="16"/>
        <v>27631.578947368424</v>
      </c>
      <c r="AH49" s="84">
        <f t="shared" si="25"/>
        <v>272603.16911359021</v>
      </c>
      <c r="AI49" s="80">
        <f t="shared" si="26"/>
        <v>44736.84210526316</v>
      </c>
      <c r="AJ49" s="86">
        <f t="shared" si="27"/>
        <v>317340.01121885335</v>
      </c>
      <c r="AK49" s="81">
        <f t="shared" si="28"/>
        <v>55921.045610297762</v>
      </c>
      <c r="AL49" s="87">
        <f t="shared" si="29"/>
        <v>-41455.917458883778</v>
      </c>
      <c r="AM49" s="81">
        <f>('E1_Données de projet'!$D$68*(1+Eing_allg_Teuerung/100)^('E1_Données de projet'!$I$68*ROUNDDOWN((AS49-1)/'E1_Données de projet'!$I$68,0))/'E1_Données de projet'!$I$68
+'E1_Données de projet'!$D$69*(1+Eing_allg_Teuerung/100)^('E1_Données de projet'!$I$69*ROUNDDOWN((AS49-1)/'E1_Données de projet'!$I$69,0))/'E1_Données de projet'!$I$69
+'E1_Données de projet'!$D$70*(1+Eing_allg_Teuerung/100)^('E1_Données de projet'!$I$70*ROUNDDOWN((AS49-1)/'E1_Données de projet'!$I$69,0))/'E1_Données de projet'!$I$70
+'E1_Données de projet'!$D$71*(1+Eing_allg_Teuerung/100)^('E1_Données de projet'!$I$71*ROUNDDOWN((AS49-1)/'E1_Données de projet'!$I$69,0))/'E1_Données de projet'!$I$71
+'E1_Données de projet'!$D$72*(1+Eing_allg_Teuerung/100)^('E1_Données de projet'!$I$72*ROUNDDOWN((AS49-1)/'E1_Données de projet'!$I$69,0))/'E1_Données de projet'!$I$72
+'E1_Données de projet'!$D$74*(1+Eing_allg_Teuerung/100)^('E1_Données de projet'!$I$74*ROUNDDOWN((AS49-1)/'E1_Données de projet'!$I$69,0))/'E1_Données de projet'!$I$74
+'E1_Données de projet'!$D$75*(1+Eing_allg_Teuerung/100)^('E1_Données de projet'!$I$75*ROUNDDOWN((AS49-1)/'E1_Données de projet'!$I$75,0))/'E1_Données de projet'!$I$75
+'E1_Données de projet'!$D$76*(1+Eing_allg_Teuerung/100)^('E1_Données de projet'!$I$76*ROUNDDOWN((AS49-1)/'E1_Données de projet'!$I$76,0))/'E1_Données de projet'!$I$76
+'E1_Données de projet'!$D$77*(1+Eing_allg_Teuerung/100)^('E1_Données de projet'!$I$77*ROUNDDOWN((AS49-1)/'E1_Données de projet'!$I$77,0))/'E1_Données de projet'!$I$77
+'E1_Données de projet'!$D$78*(1+Eing_allg_Teuerung/100)^('E1_Données de projet'!$I$78*ROUNDDOWN((AS49-1)/'E1_Données de projet'!$I$78,0))/'E1_Données de projet'!$I$78
+'E1_Données de projet'!$D$80*(1+Eing_allg_Teuerung/100)^('E1_Données de projet'!$I$80*ROUNDDOWN((AS49-1)/'E1_Données de projet'!$I$69,0))/'E1_Données de projet'!$I$80
)*((AS49)&gt;0)*VLOOKUP(B49,'E1_Données de projet'!$D$83:$I$87,6
)/100</f>
        <v>80806.03533849513</v>
      </c>
      <c r="AN49" s="226">
        <f t="shared" si="30"/>
        <v>353409.20445208531</v>
      </c>
      <c r="AO49" s="226">
        <f t="shared" si="31"/>
        <v>19851.852377065807</v>
      </c>
      <c r="AP49" s="229">
        <f t="shared" si="38"/>
        <v>-185732.69039181166</v>
      </c>
      <c r="AQ49" s="163" cm="1">
        <f t="array" ref="AQ49">IF(AS49-1&lt;=0,0,
(Eing_Kosten_Bau*(MOD((AS49-1),Eing_Nutzungsdauer_Bau)=0)
+Eing_Invest_HolzAnlage*(MOD((AS49-1),Eing_Nutzungsdauer_Holz)=0)
+Eing_Invest_WKKAnlage*(MOD((AS49-1),Eing_Nutzungsdauer_WKK)=0)
+Eing_Invest_WPAnlage*(MOD((AS49-1),Eing_Nutzungsdauer_WP)=0)
+Eing_Invest_SondenGrundwasser*(MOD((AS49-1),Eing_Nutzungsdauer_SondenGW)=0)
+Eing_Invest_AWN*(MOD((AS49-1),Eing_Nutzungsdauer_AWN)=0)
+Eing_Invest_Spitzenlast*(MOD((AS49-1),Eing_Nutzungsdauer_Spitzenlast)=0)
+Eing_Invest_Installationen*(MOD((AS49-1),Eing_Nutzungsdauer_Installationen)=0)
+Eing_Invest_Wärmenetz*(MOD((AS49-1),Eing_Nutzungsdauer_Netz)=0)
+Eing_Invest_Messung*(MOD((AS49-1),Eing_Nutzungsdauer_Messung)=0))*(1+Eing_allg_Teuerung/100)^(AS49-1))
+(Gesamtinvestition-SUM('E1_Données de projet'!$D$79:$D$80))*SUMPRODUCT(('E1_Données de projet'!$D$83:$D$87=B49)*'E1_Données de projet'!$F$83:$F$87)/100-AM49
+AQ48</f>
        <v>1604775.8586460194</v>
      </c>
      <c r="AR49" s="88">
        <f t="shared" si="32"/>
        <v>-1171052.6315789474</v>
      </c>
      <c r="AS49" s="164">
        <f>MAX(B1_Calculs!B49-'E1_Données de projet'!$D$23,0)</f>
        <v>4</v>
      </c>
      <c r="AT49" s="34">
        <f>AT48-B1_Calculs!I49</f>
        <v>0</v>
      </c>
      <c r="AU49" s="34">
        <f t="shared" si="33"/>
        <v>0</v>
      </c>
      <c r="AV49" s="34">
        <f>IF((SUM(H$44:H49)-SUM(I$44:I49))&lt;=AU49,MAX((SUM(H$44:H49)-SUM(I$44:I49)),0),AU49)</f>
        <v>0</v>
      </c>
      <c r="AW49" s="34">
        <f t="shared" si="17"/>
        <v>44736.84210526316</v>
      </c>
      <c r="AX49" s="34">
        <f t="shared" si="39"/>
        <v>671052.63157894742</v>
      </c>
      <c r="AY49" s="34">
        <f t="shared" si="34"/>
        <v>0</v>
      </c>
      <c r="AZ49" s="34">
        <f>IF((SUM(H$44:H49)-SUM(I$44:I49)-AV49)&lt;=AY49,MAX((SUM(H$44:H49)-SUM(I$44:I49)-AV49),0),AY49)</f>
        <v>0</v>
      </c>
      <c r="BA49" s="34">
        <f t="shared" si="18"/>
        <v>0</v>
      </c>
      <c r="BB49" s="34">
        <f t="shared" si="40"/>
        <v>500000</v>
      </c>
      <c r="BC49" s="89">
        <f t="shared" si="19"/>
        <v>1660696.9042563171</v>
      </c>
      <c r="BD49" s="89">
        <f t="shared" si="20"/>
        <v>55921.045610297762</v>
      </c>
    </row>
    <row r="50" spans="2:56" ht="12.95" customHeight="1" x14ac:dyDescent="0.2">
      <c r="B50" s="77">
        <f t="shared" si="35"/>
        <v>2030</v>
      </c>
      <c r="C50" s="78" cm="1">
        <f t="array" ref="C50">(SUMPRODUCT((E3_Consommateurs!$D$21:$XFD$21&lt;B1_Calculs!B50)*E3_Consommateurs!$D$18:$XFD$18)+SUMPRODUCT((E3_Consommateurs!$D$21:$XFD$21=B1_Calculs!B50)*E3_Consommateurs!$D$18:$XFD$18*E3_Consommateurs!$D$20:$XFD$20))/(100-Eing_Netzverluste)*100*(1-Eing_AbnW/100)^(B1_Calculs!B50-Eing_Beginnjahr)</f>
        <v>2325.4559690204696</v>
      </c>
      <c r="D50" s="79">
        <f t="shared" si="21"/>
        <v>113.69031643832224</v>
      </c>
      <c r="E50" s="81" cm="1">
        <f t="array" ref="E50">IF(AS50=0,0,
(Eing_Kosten_Bau*(MOD((AS50),Eing_Nutzungsdauer_Bau)=0)
+Eing_Invest_HolzAnlage*(MOD((AS50),Eing_Nutzungsdauer_Holz)=0)
+Eing_Invest_WKKAnlage*(MOD((AS50),Eing_Nutzungsdauer_WKK)=0)
+Eing_Invest_WPAnlage*(MOD((AS50),Eing_Nutzungsdauer_WP)=0)
+Eing_Invest_SondenGrundwasser*(MOD((AS50),Eing_Nutzungsdauer_SondenGW)=0)
+Eing_Invest_Zusatz*(MOD((AS50),Eing_Nutzungsdauer_Zusatz)=0)
+Eing_Invest_AWN*(MOD((AS50),Eing_Nutzungsdauer_AWN)=0)
+Eing_Invest_Spitzenlast*(MOD((AS50),Eing_Nutzungsdauer_Spitzenlast)=0)
+Eing_Invest_Installationen*(MOD((AS50),Eing_Nutzungsdauer_Installationen)=0)
+Eing_Invest_Wärmenetz*(MOD((AS50),Eing_Nutzungsdauer_Netz)=0)
+Eing_Invest_Messung*(MOD((AS50),Eing_Nutzungsdauer_Messung)=0))*(1+Eing_allg_Teuerung/100)^(AS50))
+Gesamtinvestition*SUMPRODUCT(('E1_Données de projet'!$D$83:$D$87=B50)*'E1_Données de projet'!$F$83:$F$87)/100</f>
        <v>612000</v>
      </c>
      <c r="F50" s="150">
        <f t="shared" si="3"/>
        <v>0</v>
      </c>
      <c r="G50" s="150" cm="1">
        <f t="array" ref="G50">-SUMPRODUCT((E3_Consommateurs!$D$21:$XFD$21=B1_Calculs!B50)*E3_Consommateurs!$D$23:$XFD$23)</f>
        <v>0</v>
      </c>
      <c r="H50" s="81">
        <f t="shared" si="22"/>
        <v>612000</v>
      </c>
      <c r="I50" s="150">
        <f t="shared" si="36"/>
        <v>0</v>
      </c>
      <c r="J50" s="86">
        <f t="shared" si="23"/>
        <v>0</v>
      </c>
      <c r="K50" s="86">
        <f t="shared" si="37"/>
        <v>216000</v>
      </c>
      <c r="L50" s="81">
        <f t="shared" si="24"/>
        <v>-26.279552621592302</v>
      </c>
      <c r="M50" s="229">
        <f>IF(ISNUMBER(IRR((BD$44:BD49,BC50))),IRR((BD$44:BD49,BC50)),"-")</f>
        <v>4.0651402464460196E-2</v>
      </c>
      <c r="N50" s="80" cm="1">
        <f t="array" ref="N50">SUM((SUMPRODUCT((E3_Consommateurs!$D$21:$XFD$21&lt;B1_Calculs!B50)*E3_Consommateurs!$D$26:$XFD$26)+SUMPRODUCT((E3_Consommateurs!$D$21:$XFD$21=B1_Calculs!B50)*E3_Consommateurs!$D$26:$XFD$26*E3_Consommateurs!$D$20:$XFD$20))*(1+$G$30)^(B50-B$44),(SUMPRODUCT((E3_Consommateurs!$D$21:$XFD$21&lt;B1_Calculs!B50)*E3_Consommateurs!$D$27:$XFD$27)+SUMPRODUCT((E3_Consommateurs!$D$21:$XFD$21=B1_Calculs!B50)*E3_Consommateurs!$D$27:$XFD$27*E3_Consommateurs!$D$20:$XFD$20))*((1+$G$30)*(1-'E1_Données de projet'!$D$20/100))^(B50-B$44))</f>
        <v>374749.55978794215</v>
      </c>
      <c r="O50" s="86">
        <f t="shared" si="4"/>
        <v>0</v>
      </c>
      <c r="P50" s="86">
        <f t="shared" si="5"/>
        <v>0</v>
      </c>
      <c r="Q50" s="150">
        <f t="shared" si="6"/>
        <v>0</v>
      </c>
      <c r="R50" s="82"/>
      <c r="S50" s="85"/>
      <c r="T50" s="84">
        <f t="shared" si="7"/>
        <v>374749.55978794215</v>
      </c>
      <c r="U50" s="80">
        <f t="shared" si="8"/>
        <v>99111.012573591739</v>
      </c>
      <c r="V50" s="86">
        <f t="shared" si="9"/>
        <v>0</v>
      </c>
      <c r="W50" s="86">
        <f t="shared" si="10"/>
        <v>0</v>
      </c>
      <c r="X50" s="86">
        <f t="shared" si="11"/>
        <v>0</v>
      </c>
      <c r="Y50" s="81">
        <f t="shared" si="12"/>
        <v>0</v>
      </c>
      <c r="Z50" s="86">
        <f t="shared" si="13"/>
        <v>32480.504874350048</v>
      </c>
      <c r="AA50" s="81">
        <f t="shared" si="14"/>
        <v>12342.591852253021</v>
      </c>
      <c r="AB50" s="81">
        <f>($F$22*(1+$G$22)^(B50-B$44)+$F$23*(1+$G$23)^(B50-B$44))*(B50&gt;=Eing_JahrBegWLief)*VLOOKUP(B50,'E1_Données de projet'!$D$83:$I$87,6)/100</f>
        <v>33650.188774051705</v>
      </c>
      <c r="AC50" s="81">
        <f>$F$24*(1+$G$24)^(B50-B$44)*(B50&gt;=Eing_JahrBegWLief)*VLOOKUP(B50,'E1_Données de projet'!$D$83:$I$87,6)/100</f>
        <v>47980.710807165204</v>
      </c>
      <c r="AD50" s="81">
        <f t="shared" si="15"/>
        <v>36728.597210794607</v>
      </c>
      <c r="AE50" s="82"/>
      <c r="AF50" s="83"/>
      <c r="AG50" s="78">
        <f t="shared" si="16"/>
        <v>26289.473684210527</v>
      </c>
      <c r="AH50" s="84">
        <f t="shared" si="25"/>
        <v>288583.07977641682</v>
      </c>
      <c r="AI50" s="80">
        <f t="shared" si="26"/>
        <v>44736.84210526316</v>
      </c>
      <c r="AJ50" s="86">
        <f t="shared" si="27"/>
        <v>333319.92188167997</v>
      </c>
      <c r="AK50" s="81">
        <f t="shared" si="28"/>
        <v>41429.637906262185</v>
      </c>
      <c r="AL50" s="87">
        <f t="shared" si="29"/>
        <v>-26.279552621592302</v>
      </c>
      <c r="AM50" s="81">
        <f>('E1_Données de projet'!$D$68*(1+Eing_allg_Teuerung/100)^('E1_Données de projet'!$I$68*ROUNDDOWN((AS50-1)/'E1_Données de projet'!$I$68,0))/'E1_Données de projet'!$I$68
+'E1_Données de projet'!$D$69*(1+Eing_allg_Teuerung/100)^('E1_Données de projet'!$I$69*ROUNDDOWN((AS50-1)/'E1_Données de projet'!$I$69,0))/'E1_Données de projet'!$I$69
+'E1_Données de projet'!$D$70*(1+Eing_allg_Teuerung/100)^('E1_Données de projet'!$I$70*ROUNDDOWN((AS50-1)/'E1_Données de projet'!$I$69,0))/'E1_Données de projet'!$I$70
+'E1_Données de projet'!$D$71*(1+Eing_allg_Teuerung/100)^('E1_Données de projet'!$I$71*ROUNDDOWN((AS50-1)/'E1_Données de projet'!$I$69,0))/'E1_Données de projet'!$I$71
+'E1_Données de projet'!$D$72*(1+Eing_allg_Teuerung/100)^('E1_Données de projet'!$I$72*ROUNDDOWN((AS50-1)/'E1_Données de projet'!$I$69,0))/'E1_Données de projet'!$I$72
+'E1_Données de projet'!$D$74*(1+Eing_allg_Teuerung/100)^('E1_Données de projet'!$I$74*ROUNDDOWN((AS50-1)/'E1_Données de projet'!$I$69,0))/'E1_Données de projet'!$I$74
+'E1_Données de projet'!$D$75*(1+Eing_allg_Teuerung/100)^('E1_Données de projet'!$I$75*ROUNDDOWN((AS50-1)/'E1_Données de projet'!$I$75,0))/'E1_Données de projet'!$I$75
+'E1_Données de projet'!$D$76*(1+Eing_allg_Teuerung/100)^('E1_Données de projet'!$I$76*ROUNDDOWN((AS50-1)/'E1_Données de projet'!$I$76,0))/'E1_Données de projet'!$I$76
+'E1_Données de projet'!$D$77*(1+Eing_allg_Teuerung/100)^('E1_Données de projet'!$I$77*ROUNDDOWN((AS50-1)/'E1_Données de projet'!$I$77,0))/'E1_Données de projet'!$I$77
+'E1_Données de projet'!$D$78*(1+Eing_allg_Teuerung/100)^('E1_Données de projet'!$I$78*ROUNDDOWN((AS50-1)/'E1_Données de projet'!$I$78,0))/'E1_Données de projet'!$I$78
+'E1_Données de projet'!$D$80*(1+Eing_allg_Teuerung/100)^('E1_Données de projet'!$I$80*ROUNDDOWN((AS50-1)/'E1_Données de projet'!$I$69,0))/'E1_Données de projet'!$I$80
)*((AS50)&gt;0)*VLOOKUP(B50,'E1_Données de projet'!$D$83:$I$87,6
)/100</f>
        <v>101007.54417311892</v>
      </c>
      <c r="AN50" s="226">
        <f t="shared" si="30"/>
        <v>389590.62394953577</v>
      </c>
      <c r="AO50" s="226">
        <f t="shared" si="31"/>
        <v>-14841.064161593618</v>
      </c>
      <c r="AP50" s="229">
        <f t="shared" si="38"/>
        <v>-200573.75455340528</v>
      </c>
      <c r="AQ50" s="163" cm="1">
        <f t="array" ref="AQ50">IF(AS50-1&lt;=0,0,
(Eing_Kosten_Bau*(MOD((AS50-1),Eing_Nutzungsdauer_Bau)=0)
+Eing_Invest_HolzAnlage*(MOD((AS50-1),Eing_Nutzungsdauer_Holz)=0)
+Eing_Invest_WKKAnlage*(MOD((AS50-1),Eing_Nutzungsdauer_WKK)=0)
+Eing_Invest_WPAnlage*(MOD((AS50-1),Eing_Nutzungsdauer_WP)=0)
+Eing_Invest_SondenGrundwasser*(MOD((AS50-1),Eing_Nutzungsdauer_SondenGW)=0)
+Eing_Invest_AWN*(MOD((AS50-1),Eing_Nutzungsdauer_AWN)=0)
+Eing_Invest_Spitzenlast*(MOD((AS50-1),Eing_Nutzungsdauer_Spitzenlast)=0)
+Eing_Invest_Installationen*(MOD((AS50-1),Eing_Nutzungsdauer_Installationen)=0)
+Eing_Invest_Wärmenetz*(MOD((AS50-1),Eing_Nutzungsdauer_Netz)=0)
+Eing_Invest_Messung*(MOD((AS50-1),Eing_Nutzungsdauer_Messung)=0))*(1+Eing_allg_Teuerung/100)^(AS50-1))
+(Gesamtinvestition-SUM('E1_Données de projet'!$D$79:$D$80))*SUMPRODUCT(('E1_Données de projet'!$D$83:$D$87=B50)*'E1_Données de projet'!$F$83:$F$87)/100-AM50
+AQ49</f>
        <v>1985768.3144729005</v>
      </c>
      <c r="AR50" s="88">
        <f t="shared" si="32"/>
        <v>-1126315.7894736843</v>
      </c>
      <c r="AS50" s="164">
        <f>MAX(B1_Calculs!B50-'E1_Données de projet'!$D$23,0)</f>
        <v>5</v>
      </c>
      <c r="AT50" s="34">
        <f>AT49-B1_Calculs!I50</f>
        <v>0</v>
      </c>
      <c r="AU50" s="34">
        <f t="shared" si="33"/>
        <v>0</v>
      </c>
      <c r="AV50" s="34">
        <f>IF((SUM(H$44:H50)-SUM(I$44:I50))&lt;=AU50,MAX((SUM(H$44:H50)-SUM(I$44:I50)),0),AU50)</f>
        <v>0</v>
      </c>
      <c r="AW50" s="34">
        <f t="shared" si="17"/>
        <v>44736.84210526316</v>
      </c>
      <c r="AX50" s="34">
        <f t="shared" si="39"/>
        <v>626315.78947368427</v>
      </c>
      <c r="AY50" s="34">
        <f t="shared" si="34"/>
        <v>0</v>
      </c>
      <c r="AZ50" s="34">
        <f>IF((SUM(H$44:H50)-SUM(I$44:I50)-AV50)&lt;=AY50,MAX((SUM(H$44:H50)-SUM(I$44:I50)-AV50),0),AY50)</f>
        <v>0</v>
      </c>
      <c r="BA50" s="34">
        <f t="shared" si="18"/>
        <v>0</v>
      </c>
      <c r="BB50" s="34">
        <f t="shared" si="40"/>
        <v>500000</v>
      </c>
      <c r="BC50" s="89">
        <f t="shared" si="19"/>
        <v>1415197.9523791627</v>
      </c>
      <c r="BD50" s="89">
        <f t="shared" si="20"/>
        <v>-570570.36209373781</v>
      </c>
    </row>
    <row r="51" spans="2:56" ht="12.95" customHeight="1" x14ac:dyDescent="0.2">
      <c r="B51" s="77">
        <f t="shared" si="35"/>
        <v>2031</v>
      </c>
      <c r="C51" s="78" cm="1">
        <f t="array" ref="C51">(SUMPRODUCT((E3_Consommateurs!$D$21:$XFD$21&lt;B1_Calculs!B51)*E3_Consommateurs!$D$18:$XFD$18)+SUMPRODUCT((E3_Consommateurs!$D$21:$XFD$21=B1_Calculs!B51)*E3_Consommateurs!$D$18:$XFD$18*E3_Consommateurs!$D$20:$XFD$20))/(100-Eing_Netzverluste)*100*(1-Eing_AbnW/100)^(B1_Calculs!B51-Eing_Beginnjahr)</f>
        <v>2302.2014093302651</v>
      </c>
      <c r="D51" s="79">
        <f t="shared" si="21"/>
        <v>112.55341327393901</v>
      </c>
      <c r="E51" s="81" cm="1">
        <f t="array" ref="E51">IF(AS51=0,0,
(Eing_Kosten_Bau*(MOD((AS51),Eing_Nutzungsdauer_Bau)=0)
+Eing_Invest_HolzAnlage*(MOD((AS51),Eing_Nutzungsdauer_Holz)=0)
+Eing_Invest_WKKAnlage*(MOD((AS51),Eing_Nutzungsdauer_WKK)=0)
+Eing_Invest_WPAnlage*(MOD((AS51),Eing_Nutzungsdauer_WP)=0)
+Eing_Invest_SondenGrundwasser*(MOD((AS51),Eing_Nutzungsdauer_SondenGW)=0)
+Eing_Invest_Zusatz*(MOD((AS51),Eing_Nutzungsdauer_Zusatz)=0)
+Eing_Invest_AWN*(MOD((AS51),Eing_Nutzungsdauer_AWN)=0)
+Eing_Invest_Spitzenlast*(MOD((AS51),Eing_Nutzungsdauer_Spitzenlast)=0)
+Eing_Invest_Installationen*(MOD((AS51),Eing_Nutzungsdauer_Installationen)=0)
+Eing_Invest_Wärmenetz*(MOD((AS51),Eing_Nutzungsdauer_Netz)=0)
+Eing_Invest_Messung*(MOD((AS51),Eing_Nutzungsdauer_Messung)=0))*(1+Eing_allg_Teuerung/100)^(AS51))
+Gesamtinvestition*SUMPRODUCT(('E1_Données de projet'!$D$83:$D$87=B51)*'E1_Données de projet'!$F$83:$F$87)/100</f>
        <v>0</v>
      </c>
      <c r="F51" s="150">
        <f t="shared" si="3"/>
        <v>0</v>
      </c>
      <c r="G51" s="150" cm="1">
        <f t="array" ref="G51">-SUMPRODUCT((E3_Consommateurs!$D$21:$XFD$21=B1_Calculs!B51)*E3_Consommateurs!$D$23:$XFD$23)</f>
        <v>0</v>
      </c>
      <c r="H51" s="81">
        <f t="shared" si="22"/>
        <v>0</v>
      </c>
      <c r="I51" s="150">
        <f t="shared" si="36"/>
        <v>0</v>
      </c>
      <c r="J51" s="86">
        <f t="shared" si="23"/>
        <v>0</v>
      </c>
      <c r="K51" s="86">
        <f t="shared" si="37"/>
        <v>216000</v>
      </c>
      <c r="L51" s="81">
        <f t="shared" si="24"/>
        <v>43079.87445894815</v>
      </c>
      <c r="M51" s="229">
        <f>IF(ISNUMBER(IRR((BD$44:BD50,BC51))),IRR((BD$44:BD50,BC51)),"-")</f>
        <v>2.8647566293354743E-2</v>
      </c>
      <c r="N51" s="80" cm="1">
        <f t="array" ref="N51">SUM((SUMPRODUCT((E3_Consommateurs!$D$21:$XFD$21&lt;B1_Calculs!B51)*E3_Consommateurs!$D$26:$XFD$26)+SUMPRODUCT((E3_Consommateurs!$D$21:$XFD$21=B1_Calculs!B51)*E3_Consommateurs!$D$26:$XFD$26*E3_Consommateurs!$D$20:$XFD$20))*(1+$G$30)^(B51-B$44),(SUMPRODUCT((E3_Consommateurs!$D$21:$XFD$21&lt;B1_Calculs!B51)*E3_Consommateurs!$D$27:$XFD$27)+SUMPRODUCT((E3_Consommateurs!$D$21:$XFD$21=B1_Calculs!B51)*E3_Consommateurs!$D$27:$XFD$27*E3_Consommateurs!$D$20:$XFD$20))*((1+$G$30)*(1-'E1_Données de projet'!$D$20/100))^(B51-B$44))</f>
        <v>376253.17218708189</v>
      </c>
      <c r="O51" s="86">
        <f t="shared" si="4"/>
        <v>0</v>
      </c>
      <c r="P51" s="86">
        <f t="shared" si="5"/>
        <v>0</v>
      </c>
      <c r="Q51" s="150">
        <f t="shared" si="6"/>
        <v>0</v>
      </c>
      <c r="R51" s="82"/>
      <c r="S51" s="85"/>
      <c r="T51" s="84">
        <f t="shared" si="7"/>
        <v>376253.17218708189</v>
      </c>
      <c r="U51" s="80">
        <f t="shared" si="8"/>
        <v>99101.101472334354</v>
      </c>
      <c r="V51" s="86">
        <f t="shared" si="9"/>
        <v>0</v>
      </c>
      <c r="W51" s="86">
        <f t="shared" si="10"/>
        <v>0</v>
      </c>
      <c r="X51" s="86">
        <f t="shared" si="11"/>
        <v>0</v>
      </c>
      <c r="Y51" s="81">
        <f t="shared" si="12"/>
        <v>0</v>
      </c>
      <c r="Z51" s="86">
        <f t="shared" si="13"/>
        <v>32477.256823862608</v>
      </c>
      <c r="AA51" s="81">
        <f t="shared" si="14"/>
        <v>12341.357593067791</v>
      </c>
      <c r="AB51" s="81">
        <f>($F$22*(1+$G$22)^(B51-B$44)+$F$23*(1+$G$23)^(B51-B$44))*(B51&gt;=Eing_JahrBegWLief)*VLOOKUP(B51,'E1_Données de projet'!$D$83:$I$87,6)/100</f>
        <v>33986.690661792207</v>
      </c>
      <c r="AC51" s="81">
        <f>$F$24*(1+$G$24)^(B51-B$44)*(B51&gt;=Eing_JahrBegWLief)*VLOOKUP(B51,'E1_Données de projet'!$D$83:$I$87,6)/100</f>
        <v>48460.517915236851</v>
      </c>
      <c r="AD51" s="81">
        <f t="shared" si="15"/>
        <v>37095.883182902544</v>
      </c>
      <c r="AE51" s="82"/>
      <c r="AF51" s="83"/>
      <c r="AG51" s="78">
        <f t="shared" si="16"/>
        <v>24947.368421052633</v>
      </c>
      <c r="AH51" s="84">
        <f t="shared" si="25"/>
        <v>288410.176070249</v>
      </c>
      <c r="AI51" s="80">
        <f t="shared" si="26"/>
        <v>44736.84210526316</v>
      </c>
      <c r="AJ51" s="86">
        <f t="shared" si="27"/>
        <v>333147.01817551214</v>
      </c>
      <c r="AK51" s="81">
        <f t="shared" si="28"/>
        <v>43106.154011569743</v>
      </c>
      <c r="AL51" s="87">
        <f t="shared" si="29"/>
        <v>43079.87445894815</v>
      </c>
      <c r="AM51" s="81">
        <f>('E1_Données de projet'!$D$68*(1+Eing_allg_Teuerung/100)^('E1_Données de projet'!$I$68*ROUNDDOWN((AS51-1)/'E1_Données de projet'!$I$68,0))/'E1_Données de projet'!$I$68
+'E1_Données de projet'!$D$69*(1+Eing_allg_Teuerung/100)^('E1_Données de projet'!$I$69*ROUNDDOWN((AS51-1)/'E1_Données de projet'!$I$69,0))/'E1_Données de projet'!$I$69
+'E1_Données de projet'!$D$70*(1+Eing_allg_Teuerung/100)^('E1_Données de projet'!$I$70*ROUNDDOWN((AS51-1)/'E1_Données de projet'!$I$69,0))/'E1_Données de projet'!$I$70
+'E1_Données de projet'!$D$71*(1+Eing_allg_Teuerung/100)^('E1_Données de projet'!$I$71*ROUNDDOWN((AS51-1)/'E1_Données de projet'!$I$69,0))/'E1_Données de projet'!$I$71
+'E1_Données de projet'!$D$72*(1+Eing_allg_Teuerung/100)^('E1_Données de projet'!$I$72*ROUNDDOWN((AS51-1)/'E1_Données de projet'!$I$69,0))/'E1_Données de projet'!$I$72
+'E1_Données de projet'!$D$74*(1+Eing_allg_Teuerung/100)^('E1_Données de projet'!$I$74*ROUNDDOWN((AS51-1)/'E1_Données de projet'!$I$69,0))/'E1_Données de projet'!$I$74
+'E1_Données de projet'!$D$75*(1+Eing_allg_Teuerung/100)^('E1_Données de projet'!$I$75*ROUNDDOWN((AS51-1)/'E1_Données de projet'!$I$75,0))/'E1_Données de projet'!$I$75
+'E1_Données de projet'!$D$76*(1+Eing_allg_Teuerung/100)^('E1_Données de projet'!$I$76*ROUNDDOWN((AS51-1)/'E1_Données de projet'!$I$76,0))/'E1_Données de projet'!$I$76
+'E1_Données de projet'!$D$77*(1+Eing_allg_Teuerung/100)^('E1_Données de projet'!$I$77*ROUNDDOWN((AS51-1)/'E1_Données de projet'!$I$77,0))/'E1_Données de projet'!$I$77
+'E1_Données de projet'!$D$78*(1+Eing_allg_Teuerung/100)^('E1_Données de projet'!$I$78*ROUNDDOWN((AS51-1)/'E1_Données de projet'!$I$78,0))/'E1_Données de projet'!$I$78
+'E1_Données de projet'!$D$80*(1+Eing_allg_Teuerung/100)^('E1_Données de projet'!$I$80*ROUNDDOWN((AS51-1)/'E1_Données de projet'!$I$69,0))/'E1_Données de projet'!$I$80
)*((AS51)&gt;0)*VLOOKUP(B51,'E1_Données de projet'!$D$83:$I$87,6
)/100</f>
        <v>101007.54417311892</v>
      </c>
      <c r="AN51" s="226">
        <f t="shared" si="30"/>
        <v>389417.72024336795</v>
      </c>
      <c r="AO51" s="226">
        <f t="shared" si="31"/>
        <v>-13164.548056286061</v>
      </c>
      <c r="AP51" s="229">
        <f t="shared" si="38"/>
        <v>-213738.30260969134</v>
      </c>
      <c r="AQ51" s="163" cm="1">
        <f t="array" ref="AQ51">IF(AS51-1&lt;=0,0,
(Eing_Kosten_Bau*(MOD((AS51-1),Eing_Nutzungsdauer_Bau)=0)
+Eing_Invest_HolzAnlage*(MOD((AS51-1),Eing_Nutzungsdauer_Holz)=0)
+Eing_Invest_WKKAnlage*(MOD((AS51-1),Eing_Nutzungsdauer_WKK)=0)
+Eing_Invest_WPAnlage*(MOD((AS51-1),Eing_Nutzungsdauer_WP)=0)
+Eing_Invest_SondenGrundwasser*(MOD((AS51-1),Eing_Nutzungsdauer_SondenGW)=0)
+Eing_Invest_AWN*(MOD((AS51-1),Eing_Nutzungsdauer_AWN)=0)
+Eing_Invest_Spitzenlast*(MOD((AS51-1),Eing_Nutzungsdauer_Spitzenlast)=0)
+Eing_Invest_Installationen*(MOD((AS51-1),Eing_Nutzungsdauer_Installationen)=0)
+Eing_Invest_Wärmenetz*(MOD((AS51-1),Eing_Nutzungsdauer_Netz)=0)
+Eing_Invest_Messung*(MOD((AS51-1),Eing_Nutzungsdauer_Messung)=0))*(1+Eing_allg_Teuerung/100)^(AS51-1))
+(Gesamtinvestition-SUM('E1_Données de projet'!$D$79:$D$80))*SUMPRODUCT(('E1_Données de projet'!$D$83:$D$87=B51)*'E1_Données de projet'!$F$83:$F$87)/100-AM51
+AQ50</f>
        <v>1884760.7702997816</v>
      </c>
      <c r="AR51" s="88">
        <f t="shared" si="32"/>
        <v>-1081578.9473684211</v>
      </c>
      <c r="AS51" s="164">
        <f>MAX(B1_Calculs!B51-'E1_Données de projet'!$D$23,0)</f>
        <v>6</v>
      </c>
      <c r="AT51" s="34">
        <f>AT50-B1_Calculs!I51</f>
        <v>0</v>
      </c>
      <c r="AU51" s="34">
        <f t="shared" si="33"/>
        <v>0</v>
      </c>
      <c r="AV51" s="34">
        <f>IF((SUM(H$44:H51)-SUM(I$44:I51))&lt;=AU51,MAX((SUM(H$44:H51)-SUM(I$44:I51)),0),AU51)</f>
        <v>0</v>
      </c>
      <c r="AW51" s="34">
        <f t="shared" si="17"/>
        <v>44736.84210526316</v>
      </c>
      <c r="AX51" s="34">
        <f t="shared" si="39"/>
        <v>581578.94736842113</v>
      </c>
      <c r="AY51" s="34">
        <f t="shared" si="34"/>
        <v>0</v>
      </c>
      <c r="AZ51" s="34">
        <f>IF((SUM(H$44:H51)-SUM(I$44:I51)-AV51)&lt;=AY51,MAX((SUM(H$44:H51)-SUM(I$44:I51)-AV51),0),AY51)</f>
        <v>0</v>
      </c>
      <c r="BA51" s="34">
        <f t="shared" si="18"/>
        <v>0</v>
      </c>
      <c r="BB51" s="34">
        <f t="shared" si="40"/>
        <v>500000</v>
      </c>
      <c r="BC51" s="89">
        <f t="shared" si="19"/>
        <v>1927866.9243113513</v>
      </c>
      <c r="BD51" s="89">
        <f t="shared" si="20"/>
        <v>43106.154011569743</v>
      </c>
    </row>
    <row r="52" spans="2:56" ht="12.95" customHeight="1" x14ac:dyDescent="0.2">
      <c r="B52" s="77">
        <f t="shared" si="35"/>
        <v>2032</v>
      </c>
      <c r="C52" s="78" cm="1">
        <f t="array" ref="C52">(SUMPRODUCT((E3_Consommateurs!$D$21:$XFD$21&lt;B1_Calculs!B52)*E3_Consommateurs!$D$18:$XFD$18)+SUMPRODUCT((E3_Consommateurs!$D$21:$XFD$21=B1_Calculs!B52)*E3_Consommateurs!$D$18:$XFD$18*E3_Consommateurs!$D$20:$XFD$20))/(100-Eing_Netzverluste)*100*(1-Eing_AbnW/100)^(B1_Calculs!B52-Eing_Beginnjahr)</f>
        <v>2345.8220676123119</v>
      </c>
      <c r="D52" s="79">
        <f t="shared" si="21"/>
        <v>114.68600426228733</v>
      </c>
      <c r="E52" s="81" cm="1">
        <f t="array" ref="E52">IF(AS52=0,0,
(Eing_Kosten_Bau*(MOD((AS52),Eing_Nutzungsdauer_Bau)=0)
+Eing_Invest_HolzAnlage*(MOD((AS52),Eing_Nutzungsdauer_Holz)=0)
+Eing_Invest_WKKAnlage*(MOD((AS52),Eing_Nutzungsdauer_WKK)=0)
+Eing_Invest_WPAnlage*(MOD((AS52),Eing_Nutzungsdauer_WP)=0)
+Eing_Invest_SondenGrundwasser*(MOD((AS52),Eing_Nutzungsdauer_SondenGW)=0)
+Eing_Invest_Zusatz*(MOD((AS52),Eing_Nutzungsdauer_Zusatz)=0)
+Eing_Invest_AWN*(MOD((AS52),Eing_Nutzungsdauer_AWN)=0)
+Eing_Invest_Spitzenlast*(MOD((AS52),Eing_Nutzungsdauer_Spitzenlast)=0)
+Eing_Invest_Installationen*(MOD((AS52),Eing_Nutzungsdauer_Installationen)=0)
+Eing_Invest_Wärmenetz*(MOD((AS52),Eing_Nutzungsdauer_Netz)=0)
+Eing_Invest_Messung*(MOD((AS52),Eing_Nutzungsdauer_Messung)=0))*(1+Eing_allg_Teuerung/100)^(AS52))
+Gesamtinvestition*SUMPRODUCT(('E1_Données de projet'!$D$83:$D$87=B52)*'E1_Données de projet'!$F$83:$F$87)/100</f>
        <v>0</v>
      </c>
      <c r="F52" s="150">
        <f t="shared" si="3"/>
        <v>0</v>
      </c>
      <c r="G52" s="150" cm="1">
        <f t="array" ref="G52">-SUMPRODUCT((E3_Consommateurs!$D$21:$XFD$21=B1_Calculs!B52)*E3_Consommateurs!$D$23:$XFD$23)</f>
        <v>-65000</v>
      </c>
      <c r="H52" s="81">
        <f t="shared" si="22"/>
        <v>-65000</v>
      </c>
      <c r="I52" s="150">
        <f t="shared" si="36"/>
        <v>0</v>
      </c>
      <c r="J52" s="86">
        <f t="shared" si="23"/>
        <v>0</v>
      </c>
      <c r="K52" s="86">
        <f t="shared" si="37"/>
        <v>281000</v>
      </c>
      <c r="L52" s="81">
        <f t="shared" si="24"/>
        <v>95080.009520071559</v>
      </c>
      <c r="M52" s="229">
        <f>IF(ISNUMBER(IRR((BD$44:BD51,BC52))),IRR((BD$44:BD51,BC52)),"-")</f>
        <v>2.5774274259678709E-2</v>
      </c>
      <c r="N52" s="80" cm="1">
        <f t="array" ref="N52">SUM((SUMPRODUCT((E3_Consommateurs!$D$21:$XFD$21&lt;B1_Calculs!B52)*E3_Consommateurs!$D$26:$XFD$26)+SUMPRODUCT((E3_Consommateurs!$D$21:$XFD$21=B1_Calculs!B52)*E3_Consommateurs!$D$26:$XFD$26*E3_Consommateurs!$D$20:$XFD$20))*(1+$G$30)^(B52-B$44),(SUMPRODUCT((E3_Consommateurs!$D$21:$XFD$21&lt;B1_Calculs!B52)*E3_Consommateurs!$D$27:$XFD$27)+SUMPRODUCT((E3_Consommateurs!$D$21:$XFD$21=B1_Calculs!B52)*E3_Consommateurs!$D$27:$XFD$27*E3_Consommateurs!$D$20:$XFD$20))*((1+$G$30)*(1-'E1_Données de projet'!$D$20/100))^(B52-B$44))</f>
        <v>389193.84492877685</v>
      </c>
      <c r="O52" s="86">
        <f t="shared" si="4"/>
        <v>0</v>
      </c>
      <c r="P52" s="86">
        <f t="shared" si="5"/>
        <v>0</v>
      </c>
      <c r="Q52" s="150">
        <f t="shared" si="6"/>
        <v>0</v>
      </c>
      <c r="R52" s="82"/>
      <c r="S52" s="85"/>
      <c r="T52" s="84">
        <f t="shared" si="7"/>
        <v>389193.84492877685</v>
      </c>
      <c r="U52" s="80">
        <f t="shared" si="8"/>
        <v>101988.59461839145</v>
      </c>
      <c r="V52" s="86">
        <f t="shared" si="9"/>
        <v>0</v>
      </c>
      <c r="W52" s="86">
        <f t="shared" si="10"/>
        <v>0</v>
      </c>
      <c r="X52" s="86">
        <f t="shared" si="11"/>
        <v>0</v>
      </c>
      <c r="Y52" s="81">
        <f t="shared" si="12"/>
        <v>0</v>
      </c>
      <c r="Z52" s="86">
        <f t="shared" si="13"/>
        <v>33423.54152795158</v>
      </c>
      <c r="AA52" s="81">
        <f t="shared" si="14"/>
        <v>12700.9457806216</v>
      </c>
      <c r="AB52" s="81">
        <f>($F$22*(1+$G$22)^(B52-B$44)+$F$23*(1+$G$23)^(B52-B$44))*(B52&gt;=Eing_JahrBegWLief)*VLOOKUP(B52,'E1_Données de projet'!$D$83:$I$87,6)/100</f>
        <v>34326.557568410142</v>
      </c>
      <c r="AC52" s="81">
        <f>$F$24*(1+$G$24)^(B52-B$44)*(B52&gt;=Eing_JahrBegWLief)*VLOOKUP(B52,'E1_Données de projet'!$D$83:$I$87,6)/100</f>
        <v>48945.123094389237</v>
      </c>
      <c r="AD52" s="81">
        <f t="shared" si="15"/>
        <v>37466.842014731577</v>
      </c>
      <c r="AE52" s="82"/>
      <c r="AF52" s="83"/>
      <c r="AG52" s="78">
        <f t="shared" si="16"/>
        <v>23605.26315789474</v>
      </c>
      <c r="AH52" s="84">
        <f t="shared" si="25"/>
        <v>292456.86776239029</v>
      </c>
      <c r="AI52" s="80">
        <f t="shared" si="26"/>
        <v>44736.84210526316</v>
      </c>
      <c r="AJ52" s="86">
        <f t="shared" si="27"/>
        <v>337193.70986765344</v>
      </c>
      <c r="AK52" s="81">
        <f t="shared" si="28"/>
        <v>52000.135061123408</v>
      </c>
      <c r="AL52" s="87">
        <f t="shared" si="29"/>
        <v>95080.009520071559</v>
      </c>
      <c r="AM52" s="81">
        <f>('E1_Données de projet'!$D$68*(1+Eing_allg_Teuerung/100)^('E1_Données de projet'!$I$68*ROUNDDOWN((AS52-1)/'E1_Données de projet'!$I$68,0))/'E1_Données de projet'!$I$68
+'E1_Données de projet'!$D$69*(1+Eing_allg_Teuerung/100)^('E1_Données de projet'!$I$69*ROUNDDOWN((AS52-1)/'E1_Données de projet'!$I$69,0))/'E1_Données de projet'!$I$69
+'E1_Données de projet'!$D$70*(1+Eing_allg_Teuerung/100)^('E1_Données de projet'!$I$70*ROUNDDOWN((AS52-1)/'E1_Données de projet'!$I$69,0))/'E1_Données de projet'!$I$70
+'E1_Données de projet'!$D$71*(1+Eing_allg_Teuerung/100)^('E1_Données de projet'!$I$71*ROUNDDOWN((AS52-1)/'E1_Données de projet'!$I$69,0))/'E1_Données de projet'!$I$71
+'E1_Données de projet'!$D$72*(1+Eing_allg_Teuerung/100)^('E1_Données de projet'!$I$72*ROUNDDOWN((AS52-1)/'E1_Données de projet'!$I$69,0))/'E1_Données de projet'!$I$72
+'E1_Données de projet'!$D$74*(1+Eing_allg_Teuerung/100)^('E1_Données de projet'!$I$74*ROUNDDOWN((AS52-1)/'E1_Données de projet'!$I$69,0))/'E1_Données de projet'!$I$74
+'E1_Données de projet'!$D$75*(1+Eing_allg_Teuerung/100)^('E1_Données de projet'!$I$75*ROUNDDOWN((AS52-1)/'E1_Données de projet'!$I$75,0))/'E1_Données de projet'!$I$75
+'E1_Données de projet'!$D$76*(1+Eing_allg_Teuerung/100)^('E1_Données de projet'!$I$76*ROUNDDOWN((AS52-1)/'E1_Données de projet'!$I$76,0))/'E1_Données de projet'!$I$76
+'E1_Données de projet'!$D$77*(1+Eing_allg_Teuerung/100)^('E1_Données de projet'!$I$77*ROUNDDOWN((AS52-1)/'E1_Données de projet'!$I$77,0))/'E1_Données de projet'!$I$77
+'E1_Données de projet'!$D$78*(1+Eing_allg_Teuerung/100)^('E1_Données de projet'!$I$78*ROUNDDOWN((AS52-1)/'E1_Données de projet'!$I$78,0))/'E1_Données de projet'!$I$78
+'E1_Données de projet'!$D$80*(1+Eing_allg_Teuerung/100)^('E1_Données de projet'!$I$80*ROUNDDOWN((AS52-1)/'E1_Données de projet'!$I$69,0))/'E1_Données de projet'!$I$80
)*((AS52)&gt;0)*VLOOKUP(B52,'E1_Données de projet'!$D$83:$I$87,6
)/100</f>
        <v>101007.54417311892</v>
      </c>
      <c r="AN52" s="226">
        <f t="shared" si="30"/>
        <v>393464.41193550918</v>
      </c>
      <c r="AO52" s="226">
        <f t="shared" si="31"/>
        <v>-4270.5670067323372</v>
      </c>
      <c r="AP52" s="229">
        <f t="shared" si="38"/>
        <v>-218008.86961642368</v>
      </c>
      <c r="AQ52" s="163" cm="1">
        <f t="array" ref="AQ52">IF(AS52-1&lt;=0,0,
(Eing_Kosten_Bau*(MOD((AS52-1),Eing_Nutzungsdauer_Bau)=0)
+Eing_Invest_HolzAnlage*(MOD((AS52-1),Eing_Nutzungsdauer_Holz)=0)
+Eing_Invest_WKKAnlage*(MOD((AS52-1),Eing_Nutzungsdauer_WKK)=0)
+Eing_Invest_WPAnlage*(MOD((AS52-1),Eing_Nutzungsdauer_WP)=0)
+Eing_Invest_SondenGrundwasser*(MOD((AS52-1),Eing_Nutzungsdauer_SondenGW)=0)
+Eing_Invest_AWN*(MOD((AS52-1),Eing_Nutzungsdauer_AWN)=0)
+Eing_Invest_Spitzenlast*(MOD((AS52-1),Eing_Nutzungsdauer_Spitzenlast)=0)
+Eing_Invest_Installationen*(MOD((AS52-1),Eing_Nutzungsdauer_Installationen)=0)
+Eing_Invest_Wärmenetz*(MOD((AS52-1),Eing_Nutzungsdauer_Netz)=0)
+Eing_Invest_Messung*(MOD((AS52-1),Eing_Nutzungsdauer_Messung)=0))*(1+Eing_allg_Teuerung/100)^(AS52-1))
+(Gesamtinvestition-SUM('E1_Données de projet'!$D$79:$D$80))*SUMPRODUCT(('E1_Données de projet'!$D$83:$D$87=B52)*'E1_Données de projet'!$F$83:$F$87)/100-AM52
+AQ51</f>
        <v>1783753.2261266627</v>
      </c>
      <c r="AR52" s="88">
        <f t="shared" si="32"/>
        <v>-1036842.105263158</v>
      </c>
      <c r="AS52" s="164">
        <f>MAX(B1_Calculs!B52-'E1_Données de projet'!$D$23,0)</f>
        <v>7</v>
      </c>
      <c r="AT52" s="34">
        <f>AT51-B1_Calculs!I52</f>
        <v>0</v>
      </c>
      <c r="AU52" s="34">
        <f t="shared" si="33"/>
        <v>0</v>
      </c>
      <c r="AV52" s="34">
        <f>IF((SUM(H$44:H52)-SUM(I$44:I52))&lt;=AU52,MAX((SUM(H$44:H52)-SUM(I$44:I52)),0),AU52)</f>
        <v>0</v>
      </c>
      <c r="AW52" s="34">
        <f t="shared" si="17"/>
        <v>44736.84210526316</v>
      </c>
      <c r="AX52" s="34">
        <f t="shared" si="39"/>
        <v>536842.10526315798</v>
      </c>
      <c r="AY52" s="34">
        <f t="shared" si="34"/>
        <v>0</v>
      </c>
      <c r="AZ52" s="34">
        <f>IF((SUM(H$44:H52)-SUM(I$44:I52)-AV52)&lt;=AY52,MAX((SUM(H$44:H52)-SUM(I$44:I52)-AV52),0),AY52)</f>
        <v>0</v>
      </c>
      <c r="BA52" s="34">
        <f t="shared" si="18"/>
        <v>0</v>
      </c>
      <c r="BB52" s="34">
        <f t="shared" si="40"/>
        <v>500000</v>
      </c>
      <c r="BC52" s="89">
        <f t="shared" si="19"/>
        <v>1900753.3611877861</v>
      </c>
      <c r="BD52" s="89">
        <f t="shared" si="20"/>
        <v>117000.13506112341</v>
      </c>
    </row>
    <row r="53" spans="2:56" ht="12.95" customHeight="1" x14ac:dyDescent="0.2">
      <c r="B53" s="77">
        <f t="shared" si="35"/>
        <v>2033</v>
      </c>
      <c r="C53" s="78" cm="1">
        <f t="array" ref="C53">(SUMPRODUCT((E3_Consommateurs!$D$21:$XFD$21&lt;B1_Calculs!B53)*E3_Consommateurs!$D$18:$XFD$18)+SUMPRODUCT((E3_Consommateurs!$D$21:$XFD$21=B1_Calculs!B53)*E3_Consommateurs!$D$18:$XFD$18*E3_Consommateurs!$D$20:$XFD$20))/(100-Eing_Netzverluste)*100*(1-Eing_AbnW/100)^(B1_Calculs!B53-Eing_Beginnjahr)</f>
        <v>2388.340092587785</v>
      </c>
      <c r="D53" s="79">
        <f t="shared" si="21"/>
        <v>116.76468808954128</v>
      </c>
      <c r="E53" s="81" cm="1">
        <f t="array" ref="E53">IF(AS53=0,0,
(Eing_Kosten_Bau*(MOD((AS53),Eing_Nutzungsdauer_Bau)=0)
+Eing_Invest_HolzAnlage*(MOD((AS53),Eing_Nutzungsdauer_Holz)=0)
+Eing_Invest_WKKAnlage*(MOD((AS53),Eing_Nutzungsdauer_WKK)=0)
+Eing_Invest_WPAnlage*(MOD((AS53),Eing_Nutzungsdauer_WP)=0)
+Eing_Invest_SondenGrundwasser*(MOD((AS53),Eing_Nutzungsdauer_SondenGW)=0)
+Eing_Invest_Zusatz*(MOD((AS53),Eing_Nutzungsdauer_Zusatz)=0)
+Eing_Invest_AWN*(MOD((AS53),Eing_Nutzungsdauer_AWN)=0)
+Eing_Invest_Spitzenlast*(MOD((AS53),Eing_Nutzungsdauer_Spitzenlast)=0)
+Eing_Invest_Installationen*(MOD((AS53),Eing_Nutzungsdauer_Installationen)=0)
+Eing_Invest_Wärmenetz*(MOD((AS53),Eing_Nutzungsdauer_Netz)=0)
+Eing_Invest_Messung*(MOD((AS53),Eing_Nutzungsdauer_Messung)=0))*(1+Eing_allg_Teuerung/100)^(AS53))
+Gesamtinvestition*SUMPRODUCT(('E1_Données de projet'!$D$83:$D$87=B53)*'E1_Données de projet'!$F$83:$F$87)/100</f>
        <v>0</v>
      </c>
      <c r="F53" s="150">
        <f t="shared" si="3"/>
        <v>0</v>
      </c>
      <c r="G53" s="150" cm="1">
        <f t="array" ref="G53">-SUMPRODUCT((E3_Consommateurs!$D$21:$XFD$21=B1_Calculs!B53)*E3_Consommateurs!$D$23:$XFD$23)</f>
        <v>0</v>
      </c>
      <c r="H53" s="81">
        <f t="shared" si="22"/>
        <v>0</v>
      </c>
      <c r="I53" s="150">
        <f t="shared" si="36"/>
        <v>0</v>
      </c>
      <c r="J53" s="86">
        <f t="shared" si="23"/>
        <v>0</v>
      </c>
      <c r="K53" s="86">
        <f t="shared" si="37"/>
        <v>281000</v>
      </c>
      <c r="L53" s="81">
        <f t="shared" si="24"/>
        <v>156075.66552882112</v>
      </c>
      <c r="M53" s="229">
        <f>IF(ISNUMBER(IRR((BD$44:BD52,BC53))),IRR((BD$44:BD52,BC53)),"-")</f>
        <v>1.9998826321312002E-2</v>
      </c>
      <c r="N53" s="80" cm="1">
        <f t="array" ref="N53">SUM((SUMPRODUCT((E3_Consommateurs!$D$21:$XFD$21&lt;B1_Calculs!B53)*E3_Consommateurs!$D$26:$XFD$26)+SUMPRODUCT((E3_Consommateurs!$D$21:$XFD$21=B1_Calculs!B53)*E3_Consommateurs!$D$26:$XFD$26*E3_Consommateurs!$D$20:$XFD$20))*(1+$G$30)^(B53-B$44),(SUMPRODUCT((E3_Consommateurs!$D$21:$XFD$21&lt;B1_Calculs!B53)*E3_Consommateurs!$D$27:$XFD$27)+SUMPRODUCT((E3_Consommateurs!$D$21:$XFD$21=B1_Calculs!B53)*E3_Consommateurs!$D$27:$XFD$27*E3_Consommateurs!$D$20:$XFD$20))*((1+$G$30)*(1-'E1_Données de projet'!$D$20/100))^(B53-B$44))</f>
        <v>402247.17176531558</v>
      </c>
      <c r="O53" s="86">
        <f t="shared" si="4"/>
        <v>0</v>
      </c>
      <c r="P53" s="86">
        <f t="shared" si="5"/>
        <v>0</v>
      </c>
      <c r="Q53" s="150">
        <f t="shared" si="6"/>
        <v>0</v>
      </c>
      <c r="R53" s="82"/>
      <c r="S53" s="85"/>
      <c r="T53" s="84">
        <f t="shared" si="7"/>
        <v>402247.17176531558</v>
      </c>
      <c r="U53" s="80">
        <f t="shared" si="8"/>
        <v>104875.5092748083</v>
      </c>
      <c r="V53" s="86">
        <f t="shared" si="9"/>
        <v>0</v>
      </c>
      <c r="W53" s="86">
        <f t="shared" si="10"/>
        <v>0</v>
      </c>
      <c r="X53" s="86">
        <f t="shared" si="11"/>
        <v>0</v>
      </c>
      <c r="Y53" s="81">
        <f t="shared" si="12"/>
        <v>0</v>
      </c>
      <c r="Z53" s="86">
        <f t="shared" si="13"/>
        <v>34369.636650327157</v>
      </c>
      <c r="AA53" s="81">
        <f t="shared" si="14"/>
        <v>13060.461927124321</v>
      </c>
      <c r="AB53" s="81">
        <f>($F$22*(1+$G$22)^(B53-B$44)+$F$23*(1+$G$23)^(B53-B$44))*(B53&gt;=Eing_JahrBegWLief)*VLOOKUP(B53,'E1_Données de projet'!$D$83:$I$87,6)/100</f>
        <v>34669.823144094247</v>
      </c>
      <c r="AC53" s="81">
        <f>$F$24*(1+$G$24)^(B53-B$44)*(B53&gt;=Eing_JahrBegWLief)*VLOOKUP(B53,'E1_Données de projet'!$D$83:$I$87,6)/100</f>
        <v>49434.574325333124</v>
      </c>
      <c r="AD53" s="81">
        <f t="shared" si="15"/>
        <v>37841.510434878895</v>
      </c>
      <c r="AE53" s="82"/>
      <c r="AF53" s="83"/>
      <c r="AG53" s="78">
        <f t="shared" si="16"/>
        <v>22263.157894736847</v>
      </c>
      <c r="AH53" s="84">
        <f t="shared" si="25"/>
        <v>296514.67365130287</v>
      </c>
      <c r="AI53" s="80">
        <f t="shared" si="26"/>
        <v>44736.84210526316</v>
      </c>
      <c r="AJ53" s="86">
        <f t="shared" si="27"/>
        <v>341251.51575656602</v>
      </c>
      <c r="AK53" s="81">
        <f t="shared" si="28"/>
        <v>60995.65600874956</v>
      </c>
      <c r="AL53" s="87">
        <f t="shared" si="29"/>
        <v>156075.66552882112</v>
      </c>
      <c r="AM53" s="81">
        <f>('E1_Données de projet'!$D$68*(1+Eing_allg_Teuerung/100)^('E1_Données de projet'!$I$68*ROUNDDOWN((AS53-1)/'E1_Données de projet'!$I$68,0))/'E1_Données de projet'!$I$68
+'E1_Données de projet'!$D$69*(1+Eing_allg_Teuerung/100)^('E1_Données de projet'!$I$69*ROUNDDOWN((AS53-1)/'E1_Données de projet'!$I$69,0))/'E1_Données de projet'!$I$69
+'E1_Données de projet'!$D$70*(1+Eing_allg_Teuerung/100)^('E1_Données de projet'!$I$70*ROUNDDOWN((AS53-1)/'E1_Données de projet'!$I$69,0))/'E1_Données de projet'!$I$70
+'E1_Données de projet'!$D$71*(1+Eing_allg_Teuerung/100)^('E1_Données de projet'!$I$71*ROUNDDOWN((AS53-1)/'E1_Données de projet'!$I$69,0))/'E1_Données de projet'!$I$71
+'E1_Données de projet'!$D$72*(1+Eing_allg_Teuerung/100)^('E1_Données de projet'!$I$72*ROUNDDOWN((AS53-1)/'E1_Données de projet'!$I$69,0))/'E1_Données de projet'!$I$72
+'E1_Données de projet'!$D$74*(1+Eing_allg_Teuerung/100)^('E1_Données de projet'!$I$74*ROUNDDOWN((AS53-1)/'E1_Données de projet'!$I$69,0))/'E1_Données de projet'!$I$74
+'E1_Données de projet'!$D$75*(1+Eing_allg_Teuerung/100)^('E1_Données de projet'!$I$75*ROUNDDOWN((AS53-1)/'E1_Données de projet'!$I$75,0))/'E1_Données de projet'!$I$75
+'E1_Données de projet'!$D$76*(1+Eing_allg_Teuerung/100)^('E1_Données de projet'!$I$76*ROUNDDOWN((AS53-1)/'E1_Données de projet'!$I$76,0))/'E1_Données de projet'!$I$76
+'E1_Données de projet'!$D$77*(1+Eing_allg_Teuerung/100)^('E1_Données de projet'!$I$77*ROUNDDOWN((AS53-1)/'E1_Données de projet'!$I$77,0))/'E1_Données de projet'!$I$77
+'E1_Données de projet'!$D$78*(1+Eing_allg_Teuerung/100)^('E1_Données de projet'!$I$78*ROUNDDOWN((AS53-1)/'E1_Données de projet'!$I$78,0))/'E1_Données de projet'!$I$78
+'E1_Données de projet'!$D$80*(1+Eing_allg_Teuerung/100)^('E1_Données de projet'!$I$80*ROUNDDOWN((AS53-1)/'E1_Données de projet'!$I$69,0))/'E1_Données de projet'!$I$80
)*((AS53)&gt;0)*VLOOKUP(B53,'E1_Données de projet'!$D$83:$I$87,6
)/100</f>
        <v>101007.54417311892</v>
      </c>
      <c r="AN53" s="226">
        <f t="shared" si="30"/>
        <v>397522.21782442182</v>
      </c>
      <c r="AO53" s="226">
        <f t="shared" si="31"/>
        <v>4724.9539408937562</v>
      </c>
      <c r="AP53" s="229">
        <f t="shared" si="38"/>
        <v>-213283.91567552992</v>
      </c>
      <c r="AQ53" s="163" cm="1">
        <f t="array" ref="AQ53">IF(AS53-1&lt;=0,0,
(Eing_Kosten_Bau*(MOD((AS53-1),Eing_Nutzungsdauer_Bau)=0)
+Eing_Invest_HolzAnlage*(MOD((AS53-1),Eing_Nutzungsdauer_Holz)=0)
+Eing_Invest_WKKAnlage*(MOD((AS53-1),Eing_Nutzungsdauer_WKK)=0)
+Eing_Invest_WPAnlage*(MOD((AS53-1),Eing_Nutzungsdauer_WP)=0)
+Eing_Invest_SondenGrundwasser*(MOD((AS53-1),Eing_Nutzungsdauer_SondenGW)=0)
+Eing_Invest_AWN*(MOD((AS53-1),Eing_Nutzungsdauer_AWN)=0)
+Eing_Invest_Spitzenlast*(MOD((AS53-1),Eing_Nutzungsdauer_Spitzenlast)=0)
+Eing_Invest_Installationen*(MOD((AS53-1),Eing_Nutzungsdauer_Installationen)=0)
+Eing_Invest_Wärmenetz*(MOD((AS53-1),Eing_Nutzungsdauer_Netz)=0)
+Eing_Invest_Messung*(MOD((AS53-1),Eing_Nutzungsdauer_Messung)=0))*(1+Eing_allg_Teuerung/100)^(AS53-1))
+(Gesamtinvestition-SUM('E1_Données de projet'!$D$79:$D$80))*SUMPRODUCT(('E1_Données de projet'!$D$83:$D$87=B53)*'E1_Données de projet'!$F$83:$F$87)/100-AM53
+AQ52</f>
        <v>1682745.6819535438</v>
      </c>
      <c r="AR53" s="88">
        <f t="shared" si="32"/>
        <v>-992105.26315789483</v>
      </c>
      <c r="AS53" s="162">
        <f>MAX(B1_Calculs!B53-'E1_Données de projet'!$D$23,0)</f>
        <v>8</v>
      </c>
      <c r="AT53" s="34">
        <f>AT52-B1_Calculs!I53</f>
        <v>0</v>
      </c>
      <c r="AU53" s="34">
        <f t="shared" si="33"/>
        <v>0</v>
      </c>
      <c r="AV53" s="34">
        <f>IF((SUM(H$44:H53)-SUM(I$44:I53))&lt;=AU53,MAX((SUM(H$44:H53)-SUM(I$44:I53)),0),AU53)</f>
        <v>0</v>
      </c>
      <c r="AW53" s="34">
        <f t="shared" si="17"/>
        <v>44736.84210526316</v>
      </c>
      <c r="AX53" s="34">
        <f t="shared" si="39"/>
        <v>492105.26315789483</v>
      </c>
      <c r="AY53" s="34">
        <f t="shared" si="34"/>
        <v>0</v>
      </c>
      <c r="AZ53" s="34">
        <f>IF((SUM(H$44:H53)-SUM(I$44:I53)-AV53)&lt;=AY53,MAX((SUM(H$44:H53)-SUM(I$44:I53)-AV53),0),AY53)</f>
        <v>0</v>
      </c>
      <c r="BA53" s="34">
        <f t="shared" si="18"/>
        <v>0</v>
      </c>
      <c r="BB53" s="34">
        <f t="shared" si="40"/>
        <v>500000</v>
      </c>
      <c r="BC53" s="89">
        <f t="shared" si="19"/>
        <v>1743741.3379622933</v>
      </c>
      <c r="BD53" s="89">
        <f t="shared" si="20"/>
        <v>60995.65600874956</v>
      </c>
    </row>
    <row r="54" spans="2:56" ht="12.95" customHeight="1" x14ac:dyDescent="0.2">
      <c r="B54" s="77">
        <f t="shared" si="35"/>
        <v>2034</v>
      </c>
      <c r="C54" s="78" cm="1">
        <f t="array" ref="C54">(SUMPRODUCT((E3_Consommateurs!$D$21:$XFD$21&lt;B1_Calculs!B54)*E3_Consommateurs!$D$18:$XFD$18)+SUMPRODUCT((E3_Consommateurs!$D$21:$XFD$21=B1_Calculs!B54)*E3_Consommateurs!$D$18:$XFD$18*E3_Consommateurs!$D$20:$XFD$20))/(100-Eing_Netzverluste)*100*(1-Eing_AbnW/100)^(B1_Calculs!B54-Eing_Beginnjahr)</f>
        <v>2364.4566916619074</v>
      </c>
      <c r="D54" s="79">
        <f t="shared" si="21"/>
        <v>115.59704120864586</v>
      </c>
      <c r="E54" s="81" cm="1">
        <f t="array" ref="E54">IF(AS54=0,0,
(Eing_Kosten_Bau*(MOD((AS54),Eing_Nutzungsdauer_Bau)=0)
+Eing_Invest_HolzAnlage*(MOD((AS54),Eing_Nutzungsdauer_Holz)=0)
+Eing_Invest_WKKAnlage*(MOD((AS54),Eing_Nutzungsdauer_WKK)=0)
+Eing_Invest_WPAnlage*(MOD((AS54),Eing_Nutzungsdauer_WP)=0)
+Eing_Invest_SondenGrundwasser*(MOD((AS54),Eing_Nutzungsdauer_SondenGW)=0)
+Eing_Invest_Zusatz*(MOD((AS54),Eing_Nutzungsdauer_Zusatz)=0)
+Eing_Invest_AWN*(MOD((AS54),Eing_Nutzungsdauer_AWN)=0)
+Eing_Invest_Spitzenlast*(MOD((AS54),Eing_Nutzungsdauer_Spitzenlast)=0)
+Eing_Invest_Installationen*(MOD((AS54),Eing_Nutzungsdauer_Installationen)=0)
+Eing_Invest_Wärmenetz*(MOD((AS54),Eing_Nutzungsdauer_Netz)=0)
+Eing_Invest_Messung*(MOD((AS54),Eing_Nutzungsdauer_Messung)=0))*(1+Eing_allg_Teuerung/100)^(AS54))
+Gesamtinvestition*SUMPRODUCT(('E1_Données de projet'!$D$83:$D$87=B54)*'E1_Données de projet'!$F$83:$F$87)/100</f>
        <v>0</v>
      </c>
      <c r="F54" s="150">
        <f t="shared" si="3"/>
        <v>0</v>
      </c>
      <c r="G54" s="150" cm="1">
        <f t="array" ref="G54">-SUMPRODUCT((E3_Consommateurs!$D$21:$XFD$21=B1_Calculs!B54)*E3_Consommateurs!$D$23:$XFD$23)</f>
        <v>0</v>
      </c>
      <c r="H54" s="81">
        <f t="shared" si="22"/>
        <v>0</v>
      </c>
      <c r="I54" s="150">
        <f t="shared" si="36"/>
        <v>0</v>
      </c>
      <c r="J54" s="86">
        <f t="shared" si="23"/>
        <v>0</v>
      </c>
      <c r="K54" s="86">
        <f t="shared" si="37"/>
        <v>281000</v>
      </c>
      <c r="L54" s="81">
        <f t="shared" si="24"/>
        <v>218857.27802177268</v>
      </c>
      <c r="M54" s="229">
        <f>IF(ISNUMBER(IRR((BD$44:BD53,BC54))),IRR((BD$44:BD53,BC54)),"-")</f>
        <v>1.5567659096387798E-2</v>
      </c>
      <c r="N54" s="80" cm="1">
        <f t="array" ref="N54">SUM((SUMPRODUCT((E3_Consommateurs!$D$21:$XFD$21&lt;B1_Calculs!B54)*E3_Consommateurs!$D$26:$XFD$26)+SUMPRODUCT((E3_Consommateurs!$D$21:$XFD$21=B1_Calculs!B54)*E3_Consommateurs!$D$26:$XFD$26*E3_Consommateurs!$D$20:$XFD$20))*(1+$G$30)^(B54-B$44),(SUMPRODUCT((E3_Consommateurs!$D$21:$XFD$21&lt;B1_Calculs!B54)*E3_Consommateurs!$D$27:$XFD$27)+SUMPRODUCT((E3_Consommateurs!$D$21:$XFD$21=B1_Calculs!B54)*E3_Consommateurs!$D$27:$XFD$27*E3_Consommateurs!$D$20:$XFD$20))*((1+$G$30)*(1-'E1_Données de projet'!$D$20/100))^(B54-B$44))</f>
        <v>403895.25150461751</v>
      </c>
      <c r="O54" s="86">
        <f t="shared" si="4"/>
        <v>0</v>
      </c>
      <c r="P54" s="86">
        <f t="shared" si="5"/>
        <v>0</v>
      </c>
      <c r="Q54" s="150">
        <f t="shared" si="6"/>
        <v>0</v>
      </c>
      <c r="R54" s="82"/>
      <c r="S54" s="85"/>
      <c r="T54" s="84">
        <f t="shared" si="7"/>
        <v>403895.25150461751</v>
      </c>
      <c r="U54" s="80">
        <f t="shared" si="8"/>
        <v>104865.02172388081</v>
      </c>
      <c r="V54" s="86">
        <f t="shared" si="9"/>
        <v>0</v>
      </c>
      <c r="W54" s="86">
        <f t="shared" si="10"/>
        <v>0</v>
      </c>
      <c r="X54" s="86">
        <f t="shared" si="11"/>
        <v>0</v>
      </c>
      <c r="Y54" s="81">
        <f t="shared" si="12"/>
        <v>0</v>
      </c>
      <c r="Z54" s="86">
        <f t="shared" si="13"/>
        <v>34366.199686662127</v>
      </c>
      <c r="AA54" s="81">
        <f t="shared" si="14"/>
        <v>13059.155880931608</v>
      </c>
      <c r="AB54" s="81">
        <f>($F$22*(1+$G$22)^(B54-B$44)+$F$23*(1+$G$23)^(B54-B$44))*(B54&gt;=Eing_JahrBegWLief)*VLOOKUP(B54,'E1_Données de projet'!$D$83:$I$87,6)/100</f>
        <v>35016.521375535187</v>
      </c>
      <c r="AC54" s="81">
        <f>$F$24*(1+$G$24)^(B54-B$44)*(B54&gt;=Eing_JahrBegWLief)*VLOOKUP(B54,'E1_Données de projet'!$D$83:$I$87,6)/100</f>
        <v>49928.920068586456</v>
      </c>
      <c r="AD54" s="81">
        <f t="shared" si="15"/>
        <v>38219.925539227683</v>
      </c>
      <c r="AE54" s="82"/>
      <c r="AF54" s="83"/>
      <c r="AG54" s="78">
        <f t="shared" si="16"/>
        <v>20921.05263157895</v>
      </c>
      <c r="AH54" s="84">
        <f t="shared" si="25"/>
        <v>296376.7969064028</v>
      </c>
      <c r="AI54" s="80">
        <f t="shared" si="26"/>
        <v>44736.84210526316</v>
      </c>
      <c r="AJ54" s="86">
        <f t="shared" si="27"/>
        <v>341113.63901166595</v>
      </c>
      <c r="AK54" s="81">
        <f t="shared" si="28"/>
        <v>62781.612492951564</v>
      </c>
      <c r="AL54" s="87">
        <f t="shared" si="29"/>
        <v>218857.27802177268</v>
      </c>
      <c r="AM54" s="81">
        <f>('E1_Données de projet'!$D$68*(1+Eing_allg_Teuerung/100)^('E1_Données de projet'!$I$68*ROUNDDOWN((AS54-1)/'E1_Données de projet'!$I$68,0))/'E1_Données de projet'!$I$68
+'E1_Données de projet'!$D$69*(1+Eing_allg_Teuerung/100)^('E1_Données de projet'!$I$69*ROUNDDOWN((AS54-1)/'E1_Données de projet'!$I$69,0))/'E1_Données de projet'!$I$69
+'E1_Données de projet'!$D$70*(1+Eing_allg_Teuerung/100)^('E1_Données de projet'!$I$70*ROUNDDOWN((AS54-1)/'E1_Données de projet'!$I$69,0))/'E1_Données de projet'!$I$70
+'E1_Données de projet'!$D$71*(1+Eing_allg_Teuerung/100)^('E1_Données de projet'!$I$71*ROUNDDOWN((AS54-1)/'E1_Données de projet'!$I$69,0))/'E1_Données de projet'!$I$71
+'E1_Données de projet'!$D$72*(1+Eing_allg_Teuerung/100)^('E1_Données de projet'!$I$72*ROUNDDOWN((AS54-1)/'E1_Données de projet'!$I$69,0))/'E1_Données de projet'!$I$72
+'E1_Données de projet'!$D$74*(1+Eing_allg_Teuerung/100)^('E1_Données de projet'!$I$74*ROUNDDOWN((AS54-1)/'E1_Données de projet'!$I$69,0))/'E1_Données de projet'!$I$74
+'E1_Données de projet'!$D$75*(1+Eing_allg_Teuerung/100)^('E1_Données de projet'!$I$75*ROUNDDOWN((AS54-1)/'E1_Données de projet'!$I$75,0))/'E1_Données de projet'!$I$75
+'E1_Données de projet'!$D$76*(1+Eing_allg_Teuerung/100)^('E1_Données de projet'!$I$76*ROUNDDOWN((AS54-1)/'E1_Données de projet'!$I$76,0))/'E1_Données de projet'!$I$76
+'E1_Données de projet'!$D$77*(1+Eing_allg_Teuerung/100)^('E1_Données de projet'!$I$77*ROUNDDOWN((AS54-1)/'E1_Données de projet'!$I$77,0))/'E1_Données de projet'!$I$77
+'E1_Données de projet'!$D$78*(1+Eing_allg_Teuerung/100)^('E1_Données de projet'!$I$78*ROUNDDOWN((AS54-1)/'E1_Données de projet'!$I$78,0))/'E1_Données de projet'!$I$78
+'E1_Données de projet'!$D$80*(1+Eing_allg_Teuerung/100)^('E1_Données de projet'!$I$80*ROUNDDOWN((AS54-1)/'E1_Données de projet'!$I$69,0))/'E1_Données de projet'!$I$80
)*((AS54)&gt;0)*VLOOKUP(B54,'E1_Données de projet'!$D$83:$I$87,6
)/100</f>
        <v>101007.54417311892</v>
      </c>
      <c r="AN54" s="226">
        <f t="shared" si="30"/>
        <v>397384.34107952169</v>
      </c>
      <c r="AO54" s="226">
        <f t="shared" si="31"/>
        <v>6510.9104250958189</v>
      </c>
      <c r="AP54" s="229">
        <f t="shared" si="38"/>
        <v>-206773.0052504341</v>
      </c>
      <c r="AQ54" s="163" cm="1">
        <f t="array" ref="AQ54">IF(AS54-1&lt;=0,0,
(Eing_Kosten_Bau*(MOD((AS54-1),Eing_Nutzungsdauer_Bau)=0)
+Eing_Invest_HolzAnlage*(MOD((AS54-1),Eing_Nutzungsdauer_Holz)=0)
+Eing_Invest_WKKAnlage*(MOD((AS54-1),Eing_Nutzungsdauer_WKK)=0)
+Eing_Invest_WPAnlage*(MOD((AS54-1),Eing_Nutzungsdauer_WP)=0)
+Eing_Invest_SondenGrundwasser*(MOD((AS54-1),Eing_Nutzungsdauer_SondenGW)=0)
+Eing_Invest_AWN*(MOD((AS54-1),Eing_Nutzungsdauer_AWN)=0)
+Eing_Invest_Spitzenlast*(MOD((AS54-1),Eing_Nutzungsdauer_Spitzenlast)=0)
+Eing_Invest_Installationen*(MOD((AS54-1),Eing_Nutzungsdauer_Installationen)=0)
+Eing_Invest_Wärmenetz*(MOD((AS54-1),Eing_Nutzungsdauer_Netz)=0)
+Eing_Invest_Messung*(MOD((AS54-1),Eing_Nutzungsdauer_Messung)=0))*(1+Eing_allg_Teuerung/100)^(AS54-1))
+(Gesamtinvestition-SUM('E1_Données de projet'!$D$79:$D$80))*SUMPRODUCT(('E1_Données de projet'!$D$83:$D$87=B54)*'E1_Données de projet'!$F$83:$F$87)/100-AM54
+AQ53</f>
        <v>1581738.1377804249</v>
      </c>
      <c r="AR54" s="88">
        <f t="shared" si="32"/>
        <v>-947368.42105263169</v>
      </c>
      <c r="AS54" s="164">
        <f>MAX(B1_Calculs!B54-'E1_Données de projet'!$D$23,0)</f>
        <v>9</v>
      </c>
      <c r="AT54" s="34">
        <f>AT53-B1_Calculs!I54</f>
        <v>0</v>
      </c>
      <c r="AU54" s="34">
        <f t="shared" si="33"/>
        <v>0</v>
      </c>
      <c r="AV54" s="34">
        <f>IF((SUM(H$44:H54)-SUM(I$44:I54))&lt;=AU54,MAX((SUM(H$44:H54)-SUM(I$44:I54)),0),AU54)</f>
        <v>0</v>
      </c>
      <c r="AW54" s="34">
        <f t="shared" si="17"/>
        <v>44736.84210526316</v>
      </c>
      <c r="AX54" s="34">
        <f t="shared" si="39"/>
        <v>447368.42105263169</v>
      </c>
      <c r="AY54" s="34">
        <f t="shared" si="34"/>
        <v>0</v>
      </c>
      <c r="AZ54" s="34">
        <f>IF((SUM(H$44:H54)-SUM(I$44:I54)-AV54)&lt;=AY54,MAX((SUM(H$44:H54)-SUM(I$44:I54)-AV54),0),AY54)</f>
        <v>0</v>
      </c>
      <c r="BA54" s="34">
        <f t="shared" si="18"/>
        <v>0</v>
      </c>
      <c r="BB54" s="34">
        <f t="shared" si="40"/>
        <v>500000</v>
      </c>
      <c r="BC54" s="89">
        <f t="shared" si="19"/>
        <v>1644519.7502733765</v>
      </c>
      <c r="BD54" s="89">
        <f t="shared" si="20"/>
        <v>62781.612492951564</v>
      </c>
    </row>
    <row r="55" spans="2:56" ht="12.95" customHeight="1" x14ac:dyDescent="0.2">
      <c r="B55" s="77">
        <f t="shared" si="35"/>
        <v>2035</v>
      </c>
      <c r="C55" s="78" cm="1">
        <f t="array" ref="C55">(SUMPRODUCT((E3_Consommateurs!$D$21:$XFD$21&lt;B1_Calculs!B55)*E3_Consommateurs!$D$18:$XFD$18)+SUMPRODUCT((E3_Consommateurs!$D$21:$XFD$21=B1_Calculs!B55)*E3_Consommateurs!$D$18:$XFD$18*E3_Consommateurs!$D$20:$XFD$20))/(100-Eing_Netzverluste)*100*(1-Eing_AbnW/100)^(B1_Calculs!B55-Eing_Beginnjahr)</f>
        <v>2340.8121247452882</v>
      </c>
      <c r="D55" s="79">
        <f t="shared" si="21"/>
        <v>114.4410707965594</v>
      </c>
      <c r="E55" s="81" cm="1">
        <f t="array" ref="E55">IF(AS55=0,0,
(Eing_Kosten_Bau*(MOD((AS55),Eing_Nutzungsdauer_Bau)=0)
+Eing_Invest_HolzAnlage*(MOD((AS55),Eing_Nutzungsdauer_Holz)=0)
+Eing_Invest_WKKAnlage*(MOD((AS55),Eing_Nutzungsdauer_WKK)=0)
+Eing_Invest_WPAnlage*(MOD((AS55),Eing_Nutzungsdauer_WP)=0)
+Eing_Invest_SondenGrundwasser*(MOD((AS55),Eing_Nutzungsdauer_SondenGW)=0)
+Eing_Invest_Zusatz*(MOD((AS55),Eing_Nutzungsdauer_Zusatz)=0)
+Eing_Invest_AWN*(MOD((AS55),Eing_Nutzungsdauer_AWN)=0)
+Eing_Invest_Spitzenlast*(MOD((AS55),Eing_Nutzungsdauer_Spitzenlast)=0)
+Eing_Invest_Installationen*(MOD((AS55),Eing_Nutzungsdauer_Installationen)=0)
+Eing_Invest_Wärmenetz*(MOD((AS55),Eing_Nutzungsdauer_Netz)=0)
+Eing_Invest_Messung*(MOD((AS55),Eing_Nutzungsdauer_Messung)=0))*(1+Eing_allg_Teuerung/100)^(AS55))
+Gesamtinvestition*SUMPRODUCT(('E1_Données de projet'!$D$83:$D$87=B55)*'E1_Données de projet'!$F$83:$F$87)/100</f>
        <v>0</v>
      </c>
      <c r="F55" s="150">
        <f t="shared" si="3"/>
        <v>0</v>
      </c>
      <c r="G55" s="150" cm="1">
        <f t="array" ref="G55">-SUMPRODUCT((E3_Consommateurs!$D$21:$XFD$21=B1_Calculs!B55)*E3_Consommateurs!$D$23:$XFD$23)</f>
        <v>0</v>
      </c>
      <c r="H55" s="81">
        <f t="shared" si="22"/>
        <v>0</v>
      </c>
      <c r="I55" s="150">
        <f t="shared" si="36"/>
        <v>0</v>
      </c>
      <c r="J55" s="86">
        <f t="shared" si="23"/>
        <v>0</v>
      </c>
      <c r="K55" s="86">
        <f t="shared" si="37"/>
        <v>281000</v>
      </c>
      <c r="L55" s="81">
        <f t="shared" si="24"/>
        <v>283429.36912167061</v>
      </c>
      <c r="M55" s="229">
        <f>IF(ISNUMBER(IRR((BD$44:BD54,BC55))),IRR((BD$44:BD54,BC55)),"-")</f>
        <v>1.2066934471916424E-2</v>
      </c>
      <c r="N55" s="80" cm="1">
        <f t="array" ref="N55">SUM((SUMPRODUCT((E3_Consommateurs!$D$21:$XFD$21&lt;B1_Calculs!B55)*E3_Consommateurs!$D$26:$XFD$26)+SUMPRODUCT((E3_Consommateurs!$D$21:$XFD$21=B1_Calculs!B55)*E3_Consommateurs!$D$26:$XFD$26*E3_Consommateurs!$D$20:$XFD$20))*(1+$G$30)^(B55-B$44),(SUMPRODUCT((E3_Consommateurs!$D$21:$XFD$21&lt;B1_Calculs!B55)*E3_Consommateurs!$D$27:$XFD$27)+SUMPRODUCT((E3_Consommateurs!$D$21:$XFD$21=B1_Calculs!B55)*E3_Consommateurs!$D$27:$XFD$27*E3_Consommateurs!$D$20:$XFD$20))*((1+$G$30)*(1-'E1_Données de projet'!$D$20/100))^(B55-B$44))</f>
        <v>405560.04948051029</v>
      </c>
      <c r="O55" s="86">
        <f t="shared" si="4"/>
        <v>0</v>
      </c>
      <c r="P55" s="86">
        <f t="shared" si="5"/>
        <v>0</v>
      </c>
      <c r="Q55" s="150">
        <f t="shared" si="6"/>
        <v>0</v>
      </c>
      <c r="R55" s="82"/>
      <c r="S55" s="85"/>
      <c r="T55" s="84">
        <f t="shared" si="7"/>
        <v>405560.04948051029</v>
      </c>
      <c r="U55" s="80">
        <f t="shared" si="8"/>
        <v>104854.5352217084</v>
      </c>
      <c r="V55" s="86">
        <f t="shared" si="9"/>
        <v>0</v>
      </c>
      <c r="W55" s="86">
        <f t="shared" si="10"/>
        <v>0</v>
      </c>
      <c r="X55" s="86">
        <f t="shared" si="11"/>
        <v>0</v>
      </c>
      <c r="Y55" s="81">
        <f t="shared" si="12"/>
        <v>0</v>
      </c>
      <c r="Z55" s="86">
        <f t="shared" si="13"/>
        <v>34362.763066693456</v>
      </c>
      <c r="AA55" s="81">
        <f t="shared" si="14"/>
        <v>13057.849965343512</v>
      </c>
      <c r="AB55" s="81">
        <f>($F$22*(1+$G$22)^(B55-B$44)+$F$23*(1+$G$23)^(B55-B$44))*(B55&gt;=Eing_JahrBegWLief)*VLOOKUP(B55,'E1_Données de projet'!$D$83:$I$87,6)/100</f>
        <v>35366.686589290533</v>
      </c>
      <c r="AC55" s="81">
        <f>$F$24*(1+$G$24)^(B55-B$44)*(B55&gt;=Eing_JahrBegWLief)*VLOOKUP(B55,'E1_Données de projet'!$D$83:$I$87,6)/100</f>
        <v>50428.209269272309</v>
      </c>
      <c r="AD55" s="81">
        <f t="shared" si="15"/>
        <v>38602.124794619951</v>
      </c>
      <c r="AE55" s="82"/>
      <c r="AF55" s="83"/>
      <c r="AG55" s="78">
        <f t="shared" si="16"/>
        <v>19578.947368421057</v>
      </c>
      <c r="AH55" s="84">
        <f t="shared" si="25"/>
        <v>296251.11627534922</v>
      </c>
      <c r="AI55" s="80">
        <f t="shared" si="26"/>
        <v>44736.84210526316</v>
      </c>
      <c r="AJ55" s="86">
        <f t="shared" si="27"/>
        <v>340987.95838061237</v>
      </c>
      <c r="AK55" s="81">
        <f t="shared" si="28"/>
        <v>64572.091099897923</v>
      </c>
      <c r="AL55" s="87">
        <f t="shared" si="29"/>
        <v>283429.36912167061</v>
      </c>
      <c r="AM55" s="81">
        <f>('E1_Données de projet'!$D$68*(1+Eing_allg_Teuerung/100)^('E1_Données de projet'!$I$68*ROUNDDOWN((AS55-1)/'E1_Données de projet'!$I$68,0))/'E1_Données de projet'!$I$68
+'E1_Données de projet'!$D$69*(1+Eing_allg_Teuerung/100)^('E1_Données de projet'!$I$69*ROUNDDOWN((AS55-1)/'E1_Données de projet'!$I$69,0))/'E1_Données de projet'!$I$69
+'E1_Données de projet'!$D$70*(1+Eing_allg_Teuerung/100)^('E1_Données de projet'!$I$70*ROUNDDOWN((AS55-1)/'E1_Données de projet'!$I$69,0))/'E1_Données de projet'!$I$70
+'E1_Données de projet'!$D$71*(1+Eing_allg_Teuerung/100)^('E1_Données de projet'!$I$71*ROUNDDOWN((AS55-1)/'E1_Données de projet'!$I$69,0))/'E1_Données de projet'!$I$71
+'E1_Données de projet'!$D$72*(1+Eing_allg_Teuerung/100)^('E1_Données de projet'!$I$72*ROUNDDOWN((AS55-1)/'E1_Données de projet'!$I$69,0))/'E1_Données de projet'!$I$72
+'E1_Données de projet'!$D$74*(1+Eing_allg_Teuerung/100)^('E1_Données de projet'!$I$74*ROUNDDOWN((AS55-1)/'E1_Données de projet'!$I$69,0))/'E1_Données de projet'!$I$74
+'E1_Données de projet'!$D$75*(1+Eing_allg_Teuerung/100)^('E1_Données de projet'!$I$75*ROUNDDOWN((AS55-1)/'E1_Données de projet'!$I$75,0))/'E1_Données de projet'!$I$75
+'E1_Données de projet'!$D$76*(1+Eing_allg_Teuerung/100)^('E1_Données de projet'!$I$76*ROUNDDOWN((AS55-1)/'E1_Données de projet'!$I$76,0))/'E1_Données de projet'!$I$76
+'E1_Données de projet'!$D$77*(1+Eing_allg_Teuerung/100)^('E1_Données de projet'!$I$77*ROUNDDOWN((AS55-1)/'E1_Données de projet'!$I$77,0))/'E1_Données de projet'!$I$77
+'E1_Données de projet'!$D$78*(1+Eing_allg_Teuerung/100)^('E1_Données de projet'!$I$78*ROUNDDOWN((AS55-1)/'E1_Données de projet'!$I$78,0))/'E1_Données de projet'!$I$78
+'E1_Données de projet'!$D$80*(1+Eing_allg_Teuerung/100)^('E1_Données de projet'!$I$80*ROUNDDOWN((AS55-1)/'E1_Données de projet'!$I$69,0))/'E1_Données de projet'!$I$80
)*((AS55)&gt;0)*VLOOKUP(B55,'E1_Données de projet'!$D$83:$I$87,6
)/100</f>
        <v>101007.54417311892</v>
      </c>
      <c r="AN55" s="226">
        <f t="shared" si="30"/>
        <v>397258.66044846817</v>
      </c>
      <c r="AO55" s="226">
        <f t="shared" si="31"/>
        <v>8301.3890320421197</v>
      </c>
      <c r="AP55" s="229">
        <f t="shared" si="38"/>
        <v>-198471.61621839198</v>
      </c>
      <c r="AQ55" s="163" cm="1">
        <f t="array" ref="AQ55">IF(AS55-1&lt;=0,0,
(Eing_Kosten_Bau*(MOD((AS55-1),Eing_Nutzungsdauer_Bau)=0)
+Eing_Invest_HolzAnlage*(MOD((AS55-1),Eing_Nutzungsdauer_Holz)=0)
+Eing_Invest_WKKAnlage*(MOD((AS55-1),Eing_Nutzungsdauer_WKK)=0)
+Eing_Invest_WPAnlage*(MOD((AS55-1),Eing_Nutzungsdauer_WP)=0)
+Eing_Invest_SondenGrundwasser*(MOD((AS55-1),Eing_Nutzungsdauer_SondenGW)=0)
+Eing_Invest_AWN*(MOD((AS55-1),Eing_Nutzungsdauer_AWN)=0)
+Eing_Invest_Spitzenlast*(MOD((AS55-1),Eing_Nutzungsdauer_Spitzenlast)=0)
+Eing_Invest_Installationen*(MOD((AS55-1),Eing_Nutzungsdauer_Installationen)=0)
+Eing_Invest_Wärmenetz*(MOD((AS55-1),Eing_Nutzungsdauer_Netz)=0)
+Eing_Invest_Messung*(MOD((AS55-1),Eing_Nutzungsdauer_Messung)=0))*(1+Eing_allg_Teuerung/100)^(AS55-1))
+(Gesamtinvestition-SUM('E1_Données de projet'!$D$79:$D$80))*SUMPRODUCT(('E1_Données de projet'!$D$83:$D$87=B55)*'E1_Données de projet'!$F$83:$F$87)/100-AM55
+AQ54</f>
        <v>1480730.593607306</v>
      </c>
      <c r="AR55" s="88">
        <f t="shared" si="32"/>
        <v>-902631.57894736854</v>
      </c>
      <c r="AS55" s="164">
        <f>MAX(B1_Calculs!B55-'E1_Données de projet'!$D$23,0)</f>
        <v>10</v>
      </c>
      <c r="AT55" s="34">
        <f>AT54-B1_Calculs!I55</f>
        <v>0</v>
      </c>
      <c r="AU55" s="34">
        <f t="shared" si="33"/>
        <v>0</v>
      </c>
      <c r="AV55" s="34">
        <f>IF((SUM(H$44:H55)-SUM(I$44:I55))&lt;=AU55,MAX((SUM(H$44:H55)-SUM(I$44:I55)),0),AU55)</f>
        <v>0</v>
      </c>
      <c r="AW55" s="34">
        <f t="shared" si="17"/>
        <v>44736.84210526316</v>
      </c>
      <c r="AX55" s="34">
        <f t="shared" si="39"/>
        <v>402631.57894736854</v>
      </c>
      <c r="AY55" s="34">
        <f t="shared" si="34"/>
        <v>0</v>
      </c>
      <c r="AZ55" s="34">
        <f>IF((SUM(H$44:H55)-SUM(I$44:I55)-AV55)&lt;=AY55,MAX((SUM(H$44:H55)-SUM(I$44:I55)-AV55),0),AY55)</f>
        <v>0</v>
      </c>
      <c r="BA55" s="34">
        <f t="shared" si="18"/>
        <v>0</v>
      </c>
      <c r="BB55" s="34">
        <f t="shared" si="40"/>
        <v>500000</v>
      </c>
      <c r="BC55" s="89">
        <f t="shared" si="19"/>
        <v>1545302.6847072039</v>
      </c>
      <c r="BD55" s="89">
        <f t="shared" si="20"/>
        <v>64572.091099897923</v>
      </c>
    </row>
    <row r="56" spans="2:56" ht="12.95" customHeight="1" x14ac:dyDescent="0.2">
      <c r="B56" s="77">
        <f t="shared" si="35"/>
        <v>2036</v>
      </c>
      <c r="C56" s="78" cm="1">
        <f t="array" ref="C56">(SUMPRODUCT((E3_Consommateurs!$D$21:$XFD$21&lt;B1_Calculs!B56)*E3_Consommateurs!$D$18:$XFD$18)+SUMPRODUCT((E3_Consommateurs!$D$21:$XFD$21=B1_Calculs!B56)*E3_Consommateurs!$D$18:$XFD$18*E3_Consommateurs!$D$20:$XFD$20))/(100-Eing_Netzverluste)*100*(1-Eing_AbnW/100)^(B1_Calculs!B56-Eing_Beginnjahr)</f>
        <v>2317.4040034978352</v>
      </c>
      <c r="D56" s="79">
        <f t="shared" si="21"/>
        <v>113.2966600885938</v>
      </c>
      <c r="E56" s="81" cm="1">
        <f t="array" ref="E56">IF(AS56=0,0,
(Eing_Kosten_Bau*(MOD((AS56),Eing_Nutzungsdauer_Bau)=0)
+Eing_Invest_HolzAnlage*(MOD((AS56),Eing_Nutzungsdauer_Holz)=0)
+Eing_Invest_WKKAnlage*(MOD((AS56),Eing_Nutzungsdauer_WKK)=0)
+Eing_Invest_WPAnlage*(MOD((AS56),Eing_Nutzungsdauer_WP)=0)
+Eing_Invest_SondenGrundwasser*(MOD((AS56),Eing_Nutzungsdauer_SondenGW)=0)
+Eing_Invest_Zusatz*(MOD((AS56),Eing_Nutzungsdauer_Zusatz)=0)
+Eing_Invest_AWN*(MOD((AS56),Eing_Nutzungsdauer_AWN)=0)
+Eing_Invest_Spitzenlast*(MOD((AS56),Eing_Nutzungsdauer_Spitzenlast)=0)
+Eing_Invest_Installationen*(MOD((AS56),Eing_Nutzungsdauer_Installationen)=0)
+Eing_Invest_Wärmenetz*(MOD((AS56),Eing_Nutzungsdauer_Netz)=0)
+Eing_Invest_Messung*(MOD((AS56),Eing_Nutzungsdauer_Messung)=0))*(1+Eing_allg_Teuerung/100)^(AS56))
+Gesamtinvestition*SUMPRODUCT(('E1_Données de projet'!$D$83:$D$87=B56)*'E1_Données de projet'!$F$83:$F$87)/100</f>
        <v>0</v>
      </c>
      <c r="F56" s="150">
        <f t="shared" si="3"/>
        <v>0</v>
      </c>
      <c r="G56" s="150" cm="1">
        <f t="array" ref="G56">-SUMPRODUCT((E3_Consommateurs!$D$21:$XFD$21=B1_Calculs!B56)*E3_Consommateurs!$D$23:$XFD$23)</f>
        <v>0</v>
      </c>
      <c r="H56" s="81">
        <f t="shared" si="22"/>
        <v>0</v>
      </c>
      <c r="I56" s="150">
        <f t="shared" si="36"/>
        <v>0</v>
      </c>
      <c r="J56" s="86">
        <f t="shared" si="23"/>
        <v>0</v>
      </c>
      <c r="K56" s="86">
        <f t="shared" si="37"/>
        <v>281000</v>
      </c>
      <c r="L56" s="81">
        <f t="shared" si="24"/>
        <v>349796.50616412569</v>
      </c>
      <c r="M56" s="229">
        <f>IF(ISNUMBER(IRR((BD$44:BD55,BC56))),IRR((BD$44:BD55,BC56)),"-")</f>
        <v>9.2361116545995881E-3</v>
      </c>
      <c r="N56" s="80" cm="1">
        <f t="array" ref="N56">SUM((SUMPRODUCT((E3_Consommateurs!$D$21:$XFD$21&lt;B1_Calculs!B56)*E3_Consommateurs!$D$26:$XFD$26)+SUMPRODUCT((E3_Consommateurs!$D$21:$XFD$21=B1_Calculs!B56)*E3_Consommateurs!$D$26:$XFD$26*E3_Consommateurs!$D$20:$XFD$20))*(1+$G$30)^(B56-B$44),(SUMPRODUCT((E3_Consommateurs!$D$21:$XFD$21&lt;B1_Calculs!B56)*E3_Consommateurs!$D$27:$XFD$27)+SUMPRODUCT((E3_Consommateurs!$D$21:$XFD$21=B1_Calculs!B56)*E3_Consommateurs!$D$27:$XFD$27*E3_Consommateurs!$D$20:$XFD$20))*((1+$G$30)*(1-'E1_Données de projet'!$D$20/100))^(B56-B$44))</f>
        <v>407241.73285161599</v>
      </c>
      <c r="O56" s="86">
        <f t="shared" si="4"/>
        <v>0</v>
      </c>
      <c r="P56" s="86">
        <f t="shared" si="5"/>
        <v>0</v>
      </c>
      <c r="Q56" s="150">
        <f t="shared" si="6"/>
        <v>0</v>
      </c>
      <c r="R56" s="82"/>
      <c r="S56" s="85"/>
      <c r="T56" s="84">
        <f t="shared" si="7"/>
        <v>407241.73285161599</v>
      </c>
      <c r="U56" s="80">
        <f t="shared" si="8"/>
        <v>104844.0497681862</v>
      </c>
      <c r="V56" s="86">
        <f t="shared" si="9"/>
        <v>0</v>
      </c>
      <c r="W56" s="86">
        <f t="shared" si="10"/>
        <v>0</v>
      </c>
      <c r="X56" s="86">
        <f t="shared" si="11"/>
        <v>0</v>
      </c>
      <c r="Y56" s="81">
        <f t="shared" si="12"/>
        <v>0</v>
      </c>
      <c r="Z56" s="86">
        <f t="shared" si="13"/>
        <v>34359.326790386782</v>
      </c>
      <c r="AA56" s="81">
        <f t="shared" si="14"/>
        <v>13056.544180346977</v>
      </c>
      <c r="AB56" s="81">
        <f>($F$22*(1+$G$22)^(B56-B$44)+$F$23*(1+$G$23)^(B56-B$44))*(B56&gt;=Eing_JahrBegWLief)*VLOOKUP(B56,'E1_Données de projet'!$D$83:$I$87,6)/100</f>
        <v>35720.353455183445</v>
      </c>
      <c r="AC56" s="81">
        <f>$F$24*(1+$G$24)^(B56-B$44)*(B56&gt;=Eing_JahrBegWLief)*VLOOKUP(B56,'E1_Données de projet'!$D$83:$I$87,6)/100</f>
        <v>50932.491361965032</v>
      </c>
      <c r="AD56" s="81">
        <f t="shared" si="15"/>
        <v>38988.14604256615</v>
      </c>
      <c r="AE56" s="82"/>
      <c r="AF56" s="83"/>
      <c r="AG56" s="78">
        <f t="shared" si="16"/>
        <v>18236.84210526316</v>
      </c>
      <c r="AH56" s="84">
        <f t="shared" si="25"/>
        <v>296137.75370389776</v>
      </c>
      <c r="AI56" s="80">
        <f t="shared" si="26"/>
        <v>44736.84210526316</v>
      </c>
      <c r="AJ56" s="86">
        <f t="shared" si="27"/>
        <v>340874.59580916091</v>
      </c>
      <c r="AK56" s="81">
        <f t="shared" si="28"/>
        <v>66367.137042455084</v>
      </c>
      <c r="AL56" s="87">
        <f t="shared" si="29"/>
        <v>349796.50616412569</v>
      </c>
      <c r="AM56" s="81">
        <f>('E1_Données de projet'!$D$68*(1+Eing_allg_Teuerung/100)^('E1_Données de projet'!$I$68*ROUNDDOWN((AS56-1)/'E1_Données de projet'!$I$68,0))/'E1_Données de projet'!$I$68
+'E1_Données de projet'!$D$69*(1+Eing_allg_Teuerung/100)^('E1_Données de projet'!$I$69*ROUNDDOWN((AS56-1)/'E1_Données de projet'!$I$69,0))/'E1_Données de projet'!$I$69
+'E1_Données de projet'!$D$70*(1+Eing_allg_Teuerung/100)^('E1_Données de projet'!$I$70*ROUNDDOWN((AS56-1)/'E1_Données de projet'!$I$69,0))/'E1_Données de projet'!$I$70
+'E1_Données de projet'!$D$71*(1+Eing_allg_Teuerung/100)^('E1_Données de projet'!$I$71*ROUNDDOWN((AS56-1)/'E1_Données de projet'!$I$69,0))/'E1_Données de projet'!$I$71
+'E1_Données de projet'!$D$72*(1+Eing_allg_Teuerung/100)^('E1_Données de projet'!$I$72*ROUNDDOWN((AS56-1)/'E1_Données de projet'!$I$69,0))/'E1_Données de projet'!$I$72
+'E1_Données de projet'!$D$74*(1+Eing_allg_Teuerung/100)^('E1_Données de projet'!$I$74*ROUNDDOWN((AS56-1)/'E1_Données de projet'!$I$69,0))/'E1_Données de projet'!$I$74
+'E1_Données de projet'!$D$75*(1+Eing_allg_Teuerung/100)^('E1_Données de projet'!$I$75*ROUNDDOWN((AS56-1)/'E1_Données de projet'!$I$75,0))/'E1_Données de projet'!$I$75
+'E1_Données de projet'!$D$76*(1+Eing_allg_Teuerung/100)^('E1_Données de projet'!$I$76*ROUNDDOWN((AS56-1)/'E1_Données de projet'!$I$76,0))/'E1_Données de projet'!$I$76
+'E1_Données de projet'!$D$77*(1+Eing_allg_Teuerung/100)^('E1_Données de projet'!$I$77*ROUNDDOWN((AS56-1)/'E1_Données de projet'!$I$77,0))/'E1_Données de projet'!$I$77
+'E1_Données de projet'!$D$78*(1+Eing_allg_Teuerung/100)^('E1_Données de projet'!$I$78*ROUNDDOWN((AS56-1)/'E1_Données de projet'!$I$78,0))/'E1_Données de projet'!$I$78
+'E1_Données de projet'!$D$80*(1+Eing_allg_Teuerung/100)^('E1_Données de projet'!$I$80*ROUNDDOWN((AS56-1)/'E1_Données de projet'!$I$69,0))/'E1_Données de projet'!$I$80
)*((AS56)&gt;0)*VLOOKUP(B56,'E1_Données de projet'!$D$83:$I$87,6
)/100</f>
        <v>101007.54417311892</v>
      </c>
      <c r="AN56" s="226">
        <f t="shared" si="30"/>
        <v>397145.29787701671</v>
      </c>
      <c r="AO56" s="226">
        <f t="shared" si="31"/>
        <v>10096.43497459928</v>
      </c>
      <c r="AP56" s="229">
        <f t="shared" si="38"/>
        <v>-188375.1812437927</v>
      </c>
      <c r="AQ56" s="163" cm="1">
        <f t="array" ref="AQ56">IF(AS56-1&lt;=0,0,
(Eing_Kosten_Bau*(MOD((AS56-1),Eing_Nutzungsdauer_Bau)=0)
+Eing_Invest_HolzAnlage*(MOD((AS56-1),Eing_Nutzungsdauer_Holz)=0)
+Eing_Invest_WKKAnlage*(MOD((AS56-1),Eing_Nutzungsdauer_WKK)=0)
+Eing_Invest_WPAnlage*(MOD((AS56-1),Eing_Nutzungsdauer_WP)=0)
+Eing_Invest_SondenGrundwasser*(MOD((AS56-1),Eing_Nutzungsdauer_SondenGW)=0)
+Eing_Invest_AWN*(MOD((AS56-1),Eing_Nutzungsdauer_AWN)=0)
+Eing_Invest_Spitzenlast*(MOD((AS56-1),Eing_Nutzungsdauer_Spitzenlast)=0)
+Eing_Invest_Installationen*(MOD((AS56-1),Eing_Nutzungsdauer_Installationen)=0)
+Eing_Invest_Wärmenetz*(MOD((AS56-1),Eing_Nutzungsdauer_Netz)=0)
+Eing_Invest_Messung*(MOD((AS56-1),Eing_Nutzungsdauer_Messung)=0))*(1+Eing_allg_Teuerung/100)^(AS56-1))
+(Gesamtinvestition-SUM('E1_Données de projet'!$D$79:$D$80))*SUMPRODUCT(('E1_Données de projet'!$D$83:$D$87=B56)*'E1_Données de projet'!$F$83:$F$87)/100-AM56
+AQ55</f>
        <v>1379723.0494341871</v>
      </c>
      <c r="AR56" s="88">
        <f t="shared" si="32"/>
        <v>-857894.7368421054</v>
      </c>
      <c r="AS56" s="164">
        <f>MAX(B1_Calculs!B56-'E1_Données de projet'!$D$23,0)</f>
        <v>11</v>
      </c>
      <c r="AT56" s="34">
        <f>AT55-B1_Calculs!I56</f>
        <v>0</v>
      </c>
      <c r="AU56" s="34">
        <f t="shared" si="33"/>
        <v>0</v>
      </c>
      <c r="AV56" s="34">
        <f>IF((SUM(H$44:H56)-SUM(I$44:I56))&lt;=AU56,MAX((SUM(H$44:H56)-SUM(I$44:I56)),0),AU56)</f>
        <v>0</v>
      </c>
      <c r="AW56" s="34">
        <f t="shared" si="17"/>
        <v>44736.84210526316</v>
      </c>
      <c r="AX56" s="34">
        <f t="shared" si="39"/>
        <v>357894.7368421054</v>
      </c>
      <c r="AY56" s="34">
        <f t="shared" si="34"/>
        <v>0</v>
      </c>
      <c r="AZ56" s="34">
        <f>IF((SUM(H$44:H56)-SUM(I$44:I56)-AV56)&lt;=AY56,MAX((SUM(H$44:H56)-SUM(I$44:I56)-AV56),0),AY56)</f>
        <v>0</v>
      </c>
      <c r="BA56" s="34">
        <f t="shared" si="18"/>
        <v>0</v>
      </c>
      <c r="BB56" s="34">
        <f t="shared" si="40"/>
        <v>500000</v>
      </c>
      <c r="BC56" s="89">
        <f t="shared" si="19"/>
        <v>1446090.1864766423</v>
      </c>
      <c r="BD56" s="89">
        <f t="shared" si="20"/>
        <v>66367.137042455084</v>
      </c>
    </row>
    <row r="57" spans="2:56" ht="12.95" customHeight="1" x14ac:dyDescent="0.2">
      <c r="B57" s="77">
        <f t="shared" si="35"/>
        <v>2037</v>
      </c>
      <c r="C57" s="78" cm="1">
        <f t="array" ref="C57">(SUMPRODUCT((E3_Consommateurs!$D$21:$XFD$21&lt;B1_Calculs!B57)*E3_Consommateurs!$D$18:$XFD$18)+SUMPRODUCT((E3_Consommateurs!$D$21:$XFD$21=B1_Calculs!B57)*E3_Consommateurs!$D$18:$XFD$18*E3_Consommateurs!$D$20:$XFD$20))/(100-Eing_Netzverluste)*100*(1-Eing_AbnW/100)^(B1_Calculs!B57-Eing_Beginnjahr)</f>
        <v>2294.2299634628566</v>
      </c>
      <c r="D57" s="79">
        <f t="shared" si="21"/>
        <v>112.16369348770785</v>
      </c>
      <c r="E57" s="81" cm="1">
        <f t="array" ref="E57">IF(AS57=0,0,
(Eing_Kosten_Bau*(MOD((AS57),Eing_Nutzungsdauer_Bau)=0)
+Eing_Invest_HolzAnlage*(MOD((AS57),Eing_Nutzungsdauer_Holz)=0)
+Eing_Invest_WKKAnlage*(MOD((AS57),Eing_Nutzungsdauer_WKK)=0)
+Eing_Invest_WPAnlage*(MOD((AS57),Eing_Nutzungsdauer_WP)=0)
+Eing_Invest_SondenGrundwasser*(MOD((AS57),Eing_Nutzungsdauer_SondenGW)=0)
+Eing_Invest_Zusatz*(MOD((AS57),Eing_Nutzungsdauer_Zusatz)=0)
+Eing_Invest_AWN*(MOD((AS57),Eing_Nutzungsdauer_AWN)=0)
+Eing_Invest_Spitzenlast*(MOD((AS57),Eing_Nutzungsdauer_Spitzenlast)=0)
+Eing_Invest_Installationen*(MOD((AS57),Eing_Nutzungsdauer_Installationen)=0)
+Eing_Invest_Wärmenetz*(MOD((AS57),Eing_Nutzungsdauer_Netz)=0)
+Eing_Invest_Messung*(MOD((AS57),Eing_Nutzungsdauer_Messung)=0))*(1+Eing_allg_Teuerung/100)^(AS57))
+Gesamtinvestition*SUMPRODUCT(('E1_Données de projet'!$D$83:$D$87=B57)*'E1_Données de projet'!$F$83:$F$87)/100</f>
        <v>0</v>
      </c>
      <c r="F57" s="150">
        <f t="shared" si="3"/>
        <v>0</v>
      </c>
      <c r="G57" s="150" cm="1">
        <f t="array" ref="G57">-SUMPRODUCT((E3_Consommateurs!$D$21:$XFD$21=B1_Calculs!B57)*E3_Consommateurs!$D$23:$XFD$23)</f>
        <v>0</v>
      </c>
      <c r="H57" s="81">
        <f t="shared" si="22"/>
        <v>0</v>
      </c>
      <c r="I57" s="150">
        <f t="shared" si="36"/>
        <v>0</v>
      </c>
      <c r="J57" s="86">
        <f t="shared" si="23"/>
        <v>0</v>
      </c>
      <c r="K57" s="86">
        <f t="shared" si="37"/>
        <v>281000</v>
      </c>
      <c r="L57" s="81">
        <f t="shared" si="24"/>
        <v>417963.30214974447</v>
      </c>
      <c r="M57" s="229">
        <f>IF(ISNUMBER(IRR((BD$44:BD56,BC57))),IRR((BD$44:BD56,BC57)),"-")</f>
        <v>6.9034184116569808E-3</v>
      </c>
      <c r="N57" s="80" cm="1">
        <f t="array" ref="N57">SUM((SUMPRODUCT((E3_Consommateurs!$D$21:$XFD$21&lt;B1_Calculs!B57)*E3_Consommateurs!$D$26:$XFD$26)+SUMPRODUCT((E3_Consommateurs!$D$21:$XFD$21=B1_Calculs!B57)*E3_Consommateurs!$D$26:$XFD$26*E3_Consommateurs!$D$20:$XFD$20))*(1+$G$30)^(B57-B$44),(SUMPRODUCT((E3_Consommateurs!$D$21:$XFD$21&lt;B1_Calculs!B57)*E3_Consommateurs!$D$27:$XFD$27)+SUMPRODUCT((E3_Consommateurs!$D$21:$XFD$21=B1_Calculs!B57)*E3_Consommateurs!$D$27:$XFD$27*E3_Consommateurs!$D$20:$XFD$20))*((1+$G$30)*(1-'E1_Données de projet'!$D$20/100))^(B57-B$44))</f>
        <v>408940.47044814506</v>
      </c>
      <c r="O57" s="86">
        <f t="shared" si="4"/>
        <v>0</v>
      </c>
      <c r="P57" s="86">
        <f t="shared" si="5"/>
        <v>0</v>
      </c>
      <c r="Q57" s="150">
        <f t="shared" si="6"/>
        <v>0</v>
      </c>
      <c r="R57" s="82"/>
      <c r="S57" s="85"/>
      <c r="T57" s="84">
        <f t="shared" si="7"/>
        <v>408940.47044814506</v>
      </c>
      <c r="U57" s="80">
        <f t="shared" si="8"/>
        <v>104833.5653632094</v>
      </c>
      <c r="V57" s="86">
        <f t="shared" si="9"/>
        <v>0</v>
      </c>
      <c r="W57" s="86">
        <f t="shared" si="10"/>
        <v>0</v>
      </c>
      <c r="X57" s="86">
        <f t="shared" si="11"/>
        <v>0</v>
      </c>
      <c r="Y57" s="81">
        <f t="shared" si="12"/>
        <v>0</v>
      </c>
      <c r="Z57" s="86">
        <f t="shared" si="13"/>
        <v>34355.890857707738</v>
      </c>
      <c r="AA57" s="81">
        <f t="shared" si="14"/>
        <v>13055.238525928942</v>
      </c>
      <c r="AB57" s="81">
        <f>($F$22*(1+$G$22)^(B57-B$44)+$F$23*(1+$G$23)^(B57-B$44))*(B57&gt;=Eing_JahrBegWLief)*VLOOKUP(B57,'E1_Données de projet'!$D$83:$I$87,6)/100</f>
        <v>36077.556989735283</v>
      </c>
      <c r="AC57" s="81">
        <f>$F$24*(1+$G$24)^(B57-B$44)*(B57&gt;=Eing_JahrBegWLief)*VLOOKUP(B57,'E1_Données de projet'!$D$83:$I$87,6)/100</f>
        <v>51441.816275584686</v>
      </c>
      <c r="AD57" s="81">
        <f t="shared" si="15"/>
        <v>39378.027502991819</v>
      </c>
      <c r="AE57" s="82"/>
      <c r="AF57" s="83"/>
      <c r="AG57" s="78">
        <f t="shared" si="16"/>
        <v>16894.736842105267</v>
      </c>
      <c r="AH57" s="84">
        <f t="shared" si="25"/>
        <v>296036.83235726313</v>
      </c>
      <c r="AI57" s="80">
        <f t="shared" si="26"/>
        <v>44736.84210526316</v>
      </c>
      <c r="AJ57" s="86">
        <f t="shared" si="27"/>
        <v>340773.67446252628</v>
      </c>
      <c r="AK57" s="81">
        <f t="shared" si="28"/>
        <v>68166.795985618781</v>
      </c>
      <c r="AL57" s="87">
        <f t="shared" si="29"/>
        <v>417963.30214974447</v>
      </c>
      <c r="AM57" s="81">
        <f>('E1_Données de projet'!$D$68*(1+Eing_allg_Teuerung/100)^('E1_Données de projet'!$I$68*ROUNDDOWN((AS57-1)/'E1_Données de projet'!$I$68,0))/'E1_Données de projet'!$I$68
+'E1_Données de projet'!$D$69*(1+Eing_allg_Teuerung/100)^('E1_Données de projet'!$I$69*ROUNDDOWN((AS57-1)/'E1_Données de projet'!$I$69,0))/'E1_Données de projet'!$I$69
+'E1_Données de projet'!$D$70*(1+Eing_allg_Teuerung/100)^('E1_Données de projet'!$I$70*ROUNDDOWN((AS57-1)/'E1_Données de projet'!$I$69,0))/'E1_Données de projet'!$I$70
+'E1_Données de projet'!$D$71*(1+Eing_allg_Teuerung/100)^('E1_Données de projet'!$I$71*ROUNDDOWN((AS57-1)/'E1_Données de projet'!$I$69,0))/'E1_Données de projet'!$I$71
+'E1_Données de projet'!$D$72*(1+Eing_allg_Teuerung/100)^('E1_Données de projet'!$I$72*ROUNDDOWN((AS57-1)/'E1_Données de projet'!$I$69,0))/'E1_Données de projet'!$I$72
+'E1_Données de projet'!$D$74*(1+Eing_allg_Teuerung/100)^('E1_Données de projet'!$I$74*ROUNDDOWN((AS57-1)/'E1_Données de projet'!$I$69,0))/'E1_Données de projet'!$I$74
+'E1_Données de projet'!$D$75*(1+Eing_allg_Teuerung/100)^('E1_Données de projet'!$I$75*ROUNDDOWN((AS57-1)/'E1_Données de projet'!$I$75,0))/'E1_Données de projet'!$I$75
+'E1_Données de projet'!$D$76*(1+Eing_allg_Teuerung/100)^('E1_Données de projet'!$I$76*ROUNDDOWN((AS57-1)/'E1_Données de projet'!$I$76,0))/'E1_Données de projet'!$I$76
+'E1_Données de projet'!$D$77*(1+Eing_allg_Teuerung/100)^('E1_Données de projet'!$I$77*ROUNDDOWN((AS57-1)/'E1_Données de projet'!$I$77,0))/'E1_Données de projet'!$I$77
+'E1_Données de projet'!$D$78*(1+Eing_allg_Teuerung/100)^('E1_Données de projet'!$I$78*ROUNDDOWN((AS57-1)/'E1_Données de projet'!$I$78,0))/'E1_Données de projet'!$I$78
+'E1_Données de projet'!$D$80*(1+Eing_allg_Teuerung/100)^('E1_Données de projet'!$I$80*ROUNDDOWN((AS57-1)/'E1_Données de projet'!$I$69,0))/'E1_Données de projet'!$I$80
)*((AS57)&gt;0)*VLOOKUP(B57,'E1_Données de projet'!$D$83:$I$87,6
)/100</f>
        <v>101007.54417311892</v>
      </c>
      <c r="AN57" s="226">
        <f t="shared" si="30"/>
        <v>397044.37653038208</v>
      </c>
      <c r="AO57" s="226">
        <f t="shared" si="31"/>
        <v>11896.093917762977</v>
      </c>
      <c r="AP57" s="229">
        <f t="shared" si="38"/>
        <v>-176479.08732602972</v>
      </c>
      <c r="AQ57" s="163" cm="1">
        <f t="array" ref="AQ57">IF(AS57-1&lt;=0,0,
(Eing_Kosten_Bau*(MOD((AS57-1),Eing_Nutzungsdauer_Bau)=0)
+Eing_Invest_HolzAnlage*(MOD((AS57-1),Eing_Nutzungsdauer_Holz)=0)
+Eing_Invest_WKKAnlage*(MOD((AS57-1),Eing_Nutzungsdauer_WKK)=0)
+Eing_Invest_WPAnlage*(MOD((AS57-1),Eing_Nutzungsdauer_WP)=0)
+Eing_Invest_SondenGrundwasser*(MOD((AS57-1),Eing_Nutzungsdauer_SondenGW)=0)
+Eing_Invest_AWN*(MOD((AS57-1),Eing_Nutzungsdauer_AWN)=0)
+Eing_Invest_Spitzenlast*(MOD((AS57-1),Eing_Nutzungsdauer_Spitzenlast)=0)
+Eing_Invest_Installationen*(MOD((AS57-1),Eing_Nutzungsdauer_Installationen)=0)
+Eing_Invest_Wärmenetz*(MOD((AS57-1),Eing_Nutzungsdauer_Netz)=0)
+Eing_Invest_Messung*(MOD((AS57-1),Eing_Nutzungsdauer_Messung)=0))*(1+Eing_allg_Teuerung/100)^(AS57-1))
+(Gesamtinvestition-SUM('E1_Données de projet'!$D$79:$D$80))*SUMPRODUCT(('E1_Données de projet'!$D$83:$D$87=B57)*'E1_Données de projet'!$F$83:$F$87)/100-AM57
+AQ56</f>
        <v>1278715.5052610682</v>
      </c>
      <c r="AR57" s="88">
        <f t="shared" si="32"/>
        <v>-813157.89473684225</v>
      </c>
      <c r="AS57" s="164">
        <f>MAX(B1_Calculs!B57-'E1_Données de projet'!$D$23,0)</f>
        <v>12</v>
      </c>
      <c r="AT57" s="34">
        <f>AT56-B1_Calculs!I57</f>
        <v>0</v>
      </c>
      <c r="AU57" s="34">
        <f t="shared" si="33"/>
        <v>0</v>
      </c>
      <c r="AV57" s="34">
        <f>IF((SUM(H$44:H57)-SUM(I$44:I57))&lt;=AU57,MAX((SUM(H$44:H57)-SUM(I$44:I57)),0),AU57)</f>
        <v>0</v>
      </c>
      <c r="AW57" s="34">
        <f t="shared" si="17"/>
        <v>44736.84210526316</v>
      </c>
      <c r="AX57" s="34">
        <f t="shared" si="39"/>
        <v>313157.89473684225</v>
      </c>
      <c r="AY57" s="34">
        <f t="shared" si="34"/>
        <v>0</v>
      </c>
      <c r="AZ57" s="34">
        <f>IF((SUM(H$44:H57)-SUM(I$44:I57)-AV57)&lt;=AY57,MAX((SUM(H$44:H57)-SUM(I$44:I57)-AV57),0),AY57)</f>
        <v>0</v>
      </c>
      <c r="BA57" s="34">
        <f t="shared" si="18"/>
        <v>0</v>
      </c>
      <c r="BB57" s="34">
        <f t="shared" si="40"/>
        <v>500000</v>
      </c>
      <c r="BC57" s="89">
        <f t="shared" si="19"/>
        <v>1346882.3012466871</v>
      </c>
      <c r="BD57" s="89">
        <f t="shared" si="20"/>
        <v>68166.795985618781</v>
      </c>
    </row>
    <row r="58" spans="2:56" ht="12.95" customHeight="1" x14ac:dyDescent="0.2">
      <c r="B58" s="77">
        <f t="shared" si="35"/>
        <v>2038</v>
      </c>
      <c r="C58" s="78" cm="1">
        <f t="array" ref="C58">(SUMPRODUCT((E3_Consommateurs!$D$21:$XFD$21&lt;B1_Calculs!B58)*E3_Consommateurs!$D$18:$XFD$18)+SUMPRODUCT((E3_Consommateurs!$D$21:$XFD$21=B1_Calculs!B58)*E3_Consommateurs!$D$18:$XFD$18*E3_Consommateurs!$D$20:$XFD$20))/(100-Eing_Netzverluste)*100*(1-Eing_AbnW/100)^(B1_Calculs!B58-Eing_Beginnjahr)</f>
        <v>2271.2876638282282</v>
      </c>
      <c r="D58" s="79">
        <f t="shared" si="21"/>
        <v>111.04205655283079</v>
      </c>
      <c r="E58" s="81" cm="1">
        <f t="array" ref="E58">IF(AS58=0,0,
(Eing_Kosten_Bau*(MOD((AS58),Eing_Nutzungsdauer_Bau)=0)
+Eing_Invest_HolzAnlage*(MOD((AS58),Eing_Nutzungsdauer_Holz)=0)
+Eing_Invest_WKKAnlage*(MOD((AS58),Eing_Nutzungsdauer_WKK)=0)
+Eing_Invest_WPAnlage*(MOD((AS58),Eing_Nutzungsdauer_WP)=0)
+Eing_Invest_SondenGrundwasser*(MOD((AS58),Eing_Nutzungsdauer_SondenGW)=0)
+Eing_Invest_Zusatz*(MOD((AS58),Eing_Nutzungsdauer_Zusatz)=0)
+Eing_Invest_AWN*(MOD((AS58),Eing_Nutzungsdauer_AWN)=0)
+Eing_Invest_Spitzenlast*(MOD((AS58),Eing_Nutzungsdauer_Spitzenlast)=0)
+Eing_Invest_Installationen*(MOD((AS58),Eing_Nutzungsdauer_Installationen)=0)
+Eing_Invest_Wärmenetz*(MOD((AS58),Eing_Nutzungsdauer_Netz)=0)
+Eing_Invest_Messung*(MOD((AS58),Eing_Nutzungsdauer_Messung)=0))*(1+Eing_allg_Teuerung/100)^(AS58))
+Gesamtinvestition*SUMPRODUCT(('E1_Données de projet'!$D$83:$D$87=B58)*'E1_Données de projet'!$F$83:$F$87)/100</f>
        <v>0</v>
      </c>
      <c r="F58" s="150">
        <f t="shared" si="3"/>
        <v>0</v>
      </c>
      <c r="G58" s="150" cm="1">
        <f t="array" ref="G58">-SUMPRODUCT((E3_Consommateurs!$D$21:$XFD$21=B1_Calculs!B58)*E3_Consommateurs!$D$23:$XFD$23)</f>
        <v>0</v>
      </c>
      <c r="H58" s="81">
        <f t="shared" si="22"/>
        <v>0</v>
      </c>
      <c r="I58" s="150">
        <f t="shared" si="36"/>
        <v>0</v>
      </c>
      <c r="J58" s="86">
        <f t="shared" si="23"/>
        <v>0</v>
      </c>
      <c r="K58" s="86">
        <f t="shared" si="37"/>
        <v>281000</v>
      </c>
      <c r="L58" s="81">
        <f t="shared" si="24"/>
        <v>487934.41620078031</v>
      </c>
      <c r="M58" s="229">
        <f>IF(ISNUMBER(IRR((BD$44:BD57,BC58))),IRR((BD$44:BD57,BC58)),"-")</f>
        <v>4.9512436838619056E-3</v>
      </c>
      <c r="N58" s="80" cm="1">
        <f t="array" ref="N58">SUM((SUMPRODUCT((E3_Consommateurs!$D$21:$XFD$21&lt;B1_Calculs!B58)*E3_Consommateurs!$D$26:$XFD$26)+SUMPRODUCT((E3_Consommateurs!$D$21:$XFD$21=B1_Calculs!B58)*E3_Consommateurs!$D$26:$XFD$26*E3_Consommateurs!$D$20:$XFD$20))*(1+$G$30)^(B58-B$44),(SUMPRODUCT((E3_Consommateurs!$D$21:$XFD$21&lt;B1_Calculs!B58)*E3_Consommateurs!$D$27:$XFD$27)+SUMPRODUCT((E3_Consommateurs!$D$21:$XFD$21=B1_Calculs!B58)*E3_Consommateurs!$D$27:$XFD$27*E3_Consommateurs!$D$20:$XFD$20))*((1+$G$30)*(1-'E1_Données de projet'!$D$20/100))^(B58-B$44))</f>
        <v>410656.43278861267</v>
      </c>
      <c r="O58" s="86">
        <f t="shared" si="4"/>
        <v>0</v>
      </c>
      <c r="P58" s="86">
        <f t="shared" si="5"/>
        <v>0</v>
      </c>
      <c r="Q58" s="150">
        <f t="shared" si="6"/>
        <v>0</v>
      </c>
      <c r="R58" s="82"/>
      <c r="S58" s="85"/>
      <c r="T58" s="84">
        <f t="shared" si="7"/>
        <v>410656.43278861267</v>
      </c>
      <c r="U58" s="80">
        <f t="shared" si="8"/>
        <v>104823.0820066731</v>
      </c>
      <c r="V58" s="86">
        <f t="shared" si="9"/>
        <v>0</v>
      </c>
      <c r="W58" s="86">
        <f t="shared" si="10"/>
        <v>0</v>
      </c>
      <c r="X58" s="86">
        <f t="shared" si="11"/>
        <v>0</v>
      </c>
      <c r="Y58" s="81">
        <f t="shared" si="12"/>
        <v>0</v>
      </c>
      <c r="Z58" s="86">
        <f t="shared" si="13"/>
        <v>34352.455268621976</v>
      </c>
      <c r="AA58" s="81">
        <f t="shared" si="14"/>
        <v>13053.93300207635</v>
      </c>
      <c r="AB58" s="81">
        <f>($F$22*(1+$G$22)^(B58-B$44)+$F$23*(1+$G$23)^(B58-B$44))*(B58&gt;=Eing_JahrBegWLief)*VLOOKUP(B58,'E1_Données de projet'!$D$83:$I$87,6)/100</f>
        <v>36438.332559632632</v>
      </c>
      <c r="AC58" s="81">
        <f>$F$24*(1+$G$24)^(B58-B$44)*(B58&gt;=Eing_JahrBegWLief)*VLOOKUP(B58,'E1_Données de projet'!$D$83:$I$87,6)/100</f>
        <v>51956.234438340536</v>
      </c>
      <c r="AD58" s="81">
        <f t="shared" si="15"/>
        <v>39771.807778021743</v>
      </c>
      <c r="AE58" s="82"/>
      <c r="AF58" s="83"/>
      <c r="AG58" s="78">
        <f t="shared" si="16"/>
        <v>15552.631578947374</v>
      </c>
      <c r="AH58" s="84">
        <f t="shared" si="25"/>
        <v>295948.47663231369</v>
      </c>
      <c r="AI58" s="80">
        <f t="shared" si="26"/>
        <v>44736.84210526316</v>
      </c>
      <c r="AJ58" s="86">
        <f t="shared" si="27"/>
        <v>340685.31873757683</v>
      </c>
      <c r="AK58" s="81">
        <f t="shared" si="28"/>
        <v>69971.114051035838</v>
      </c>
      <c r="AL58" s="87">
        <f t="shared" si="29"/>
        <v>487934.41620078031</v>
      </c>
      <c r="AM58" s="81">
        <f>('E1_Données de projet'!$D$68*(1+Eing_allg_Teuerung/100)^('E1_Données de projet'!$I$68*ROUNDDOWN((AS58-1)/'E1_Données de projet'!$I$68,0))/'E1_Données de projet'!$I$68
+'E1_Données de projet'!$D$69*(1+Eing_allg_Teuerung/100)^('E1_Données de projet'!$I$69*ROUNDDOWN((AS58-1)/'E1_Données de projet'!$I$69,0))/'E1_Données de projet'!$I$69
+'E1_Données de projet'!$D$70*(1+Eing_allg_Teuerung/100)^('E1_Données de projet'!$I$70*ROUNDDOWN((AS58-1)/'E1_Données de projet'!$I$69,0))/'E1_Données de projet'!$I$70
+'E1_Données de projet'!$D$71*(1+Eing_allg_Teuerung/100)^('E1_Données de projet'!$I$71*ROUNDDOWN((AS58-1)/'E1_Données de projet'!$I$69,0))/'E1_Données de projet'!$I$71
+'E1_Données de projet'!$D$72*(1+Eing_allg_Teuerung/100)^('E1_Données de projet'!$I$72*ROUNDDOWN((AS58-1)/'E1_Données de projet'!$I$69,0))/'E1_Données de projet'!$I$72
+'E1_Données de projet'!$D$74*(1+Eing_allg_Teuerung/100)^('E1_Données de projet'!$I$74*ROUNDDOWN((AS58-1)/'E1_Données de projet'!$I$69,0))/'E1_Données de projet'!$I$74
+'E1_Données de projet'!$D$75*(1+Eing_allg_Teuerung/100)^('E1_Données de projet'!$I$75*ROUNDDOWN((AS58-1)/'E1_Données de projet'!$I$75,0))/'E1_Données de projet'!$I$75
+'E1_Données de projet'!$D$76*(1+Eing_allg_Teuerung/100)^('E1_Données de projet'!$I$76*ROUNDDOWN((AS58-1)/'E1_Données de projet'!$I$76,0))/'E1_Données de projet'!$I$76
+'E1_Données de projet'!$D$77*(1+Eing_allg_Teuerung/100)^('E1_Données de projet'!$I$77*ROUNDDOWN((AS58-1)/'E1_Données de projet'!$I$77,0))/'E1_Données de projet'!$I$77
+'E1_Données de projet'!$D$78*(1+Eing_allg_Teuerung/100)^('E1_Données de projet'!$I$78*ROUNDDOWN((AS58-1)/'E1_Données de projet'!$I$78,0))/'E1_Données de projet'!$I$78
+'E1_Données de projet'!$D$80*(1+Eing_allg_Teuerung/100)^('E1_Données de projet'!$I$80*ROUNDDOWN((AS58-1)/'E1_Données de projet'!$I$69,0))/'E1_Données de projet'!$I$80
)*((AS58)&gt;0)*VLOOKUP(B58,'E1_Données de projet'!$D$83:$I$87,6
)/100</f>
        <v>101007.54417311892</v>
      </c>
      <c r="AN58" s="226">
        <f t="shared" si="30"/>
        <v>396956.02080543258</v>
      </c>
      <c r="AO58" s="226">
        <f t="shared" si="31"/>
        <v>13700.411983180093</v>
      </c>
      <c r="AP58" s="229">
        <f t="shared" si="38"/>
        <v>-162778.67534284963</v>
      </c>
      <c r="AQ58" s="163" cm="1">
        <f t="array" ref="AQ58">IF(AS58-1&lt;=0,0,
(Eing_Kosten_Bau*(MOD((AS58-1),Eing_Nutzungsdauer_Bau)=0)
+Eing_Invest_HolzAnlage*(MOD((AS58-1),Eing_Nutzungsdauer_Holz)=0)
+Eing_Invest_WKKAnlage*(MOD((AS58-1),Eing_Nutzungsdauer_WKK)=0)
+Eing_Invest_WPAnlage*(MOD((AS58-1),Eing_Nutzungsdauer_WP)=0)
+Eing_Invest_SondenGrundwasser*(MOD((AS58-1),Eing_Nutzungsdauer_SondenGW)=0)
+Eing_Invest_AWN*(MOD((AS58-1),Eing_Nutzungsdauer_AWN)=0)
+Eing_Invest_Spitzenlast*(MOD((AS58-1),Eing_Nutzungsdauer_Spitzenlast)=0)
+Eing_Invest_Installationen*(MOD((AS58-1),Eing_Nutzungsdauer_Installationen)=0)
+Eing_Invest_Wärmenetz*(MOD((AS58-1),Eing_Nutzungsdauer_Netz)=0)
+Eing_Invest_Messung*(MOD((AS58-1),Eing_Nutzungsdauer_Messung)=0))*(1+Eing_allg_Teuerung/100)^(AS58-1))
+(Gesamtinvestition-SUM('E1_Données de projet'!$D$79:$D$80))*SUMPRODUCT(('E1_Données de projet'!$D$83:$D$87=B58)*'E1_Données de projet'!$F$83:$F$87)/100-AM58
+AQ57</f>
        <v>1177707.9610879493</v>
      </c>
      <c r="AR58" s="88">
        <f t="shared" si="32"/>
        <v>-768421.05263157911</v>
      </c>
      <c r="AS58" s="164">
        <f>MAX(B1_Calculs!B58-'E1_Données de projet'!$D$23,0)</f>
        <v>13</v>
      </c>
      <c r="AT58" s="34">
        <f>AT57-B1_Calculs!I58</f>
        <v>0</v>
      </c>
      <c r="AU58" s="34">
        <f t="shared" si="33"/>
        <v>0</v>
      </c>
      <c r="AV58" s="34">
        <f>IF((SUM(H$44:H58)-SUM(I$44:I58))&lt;=AU58,MAX((SUM(H$44:H58)-SUM(I$44:I58)),0),AU58)</f>
        <v>0</v>
      </c>
      <c r="AW58" s="34">
        <f t="shared" si="17"/>
        <v>44736.84210526316</v>
      </c>
      <c r="AX58" s="34">
        <f t="shared" si="39"/>
        <v>268421.05263157911</v>
      </c>
      <c r="AY58" s="34">
        <f t="shared" si="34"/>
        <v>0</v>
      </c>
      <c r="AZ58" s="34">
        <f>IF((SUM(H$44:H58)-SUM(I$44:I58)-AV58)&lt;=AY58,MAX((SUM(H$44:H58)-SUM(I$44:I58)-AV58),0),AY58)</f>
        <v>0</v>
      </c>
      <c r="BA58" s="34">
        <f t="shared" si="18"/>
        <v>0</v>
      </c>
      <c r="BB58" s="34">
        <f t="shared" si="40"/>
        <v>500000</v>
      </c>
      <c r="BC58" s="89">
        <f t="shared" si="19"/>
        <v>1247679.0751389852</v>
      </c>
      <c r="BD58" s="89">
        <f t="shared" si="20"/>
        <v>69971.114051035838</v>
      </c>
    </row>
    <row r="59" spans="2:56" ht="12.95" customHeight="1" x14ac:dyDescent="0.2">
      <c r="B59" s="77">
        <f t="shared" si="35"/>
        <v>2039</v>
      </c>
      <c r="C59" s="78" cm="1">
        <f t="array" ref="C59">(SUMPRODUCT((E3_Consommateurs!$D$21:$XFD$21&lt;B1_Calculs!B59)*E3_Consommateurs!$D$18:$XFD$18)+SUMPRODUCT((E3_Consommateurs!$D$21:$XFD$21=B1_Calculs!B59)*E3_Consommateurs!$D$18:$XFD$18*E3_Consommateurs!$D$20:$XFD$20))/(100-Eing_Netzverluste)*100*(1-Eing_AbnW/100)^(B1_Calculs!B59-Eing_Beginnjahr)</f>
        <v>2248.5747871899462</v>
      </c>
      <c r="D59" s="79">
        <f t="shared" si="21"/>
        <v>109.93163598730249</v>
      </c>
      <c r="E59" s="81" cm="1">
        <f t="array" ref="E59">IF(AS59=0,0,
(Eing_Kosten_Bau*(MOD((AS59),Eing_Nutzungsdauer_Bau)=0)
+Eing_Invest_HolzAnlage*(MOD((AS59),Eing_Nutzungsdauer_Holz)=0)
+Eing_Invest_WKKAnlage*(MOD((AS59),Eing_Nutzungsdauer_WKK)=0)
+Eing_Invest_WPAnlage*(MOD((AS59),Eing_Nutzungsdauer_WP)=0)
+Eing_Invest_SondenGrundwasser*(MOD((AS59),Eing_Nutzungsdauer_SondenGW)=0)
+Eing_Invest_Zusatz*(MOD((AS59),Eing_Nutzungsdauer_Zusatz)=0)
+Eing_Invest_AWN*(MOD((AS59),Eing_Nutzungsdauer_AWN)=0)
+Eing_Invest_Spitzenlast*(MOD((AS59),Eing_Nutzungsdauer_Spitzenlast)=0)
+Eing_Invest_Installationen*(MOD((AS59),Eing_Nutzungsdauer_Installationen)=0)
+Eing_Invest_Wärmenetz*(MOD((AS59),Eing_Nutzungsdauer_Netz)=0)
+Eing_Invest_Messung*(MOD((AS59),Eing_Nutzungsdauer_Messung)=0))*(1+Eing_allg_Teuerung/100)^(AS59))
+Gesamtinvestition*SUMPRODUCT(('E1_Données de projet'!$D$83:$D$87=B59)*'E1_Données de projet'!$F$83:$F$87)/100</f>
        <v>0</v>
      </c>
      <c r="F59" s="150">
        <f t="shared" si="3"/>
        <v>0</v>
      </c>
      <c r="G59" s="150" cm="1">
        <f t="array" ref="G59">-SUMPRODUCT((E3_Consommateurs!$D$21:$XFD$21=B1_Calculs!B59)*E3_Consommateurs!$D$23:$XFD$23)</f>
        <v>0</v>
      </c>
      <c r="H59" s="81">
        <f t="shared" si="22"/>
        <v>0</v>
      </c>
      <c r="I59" s="150">
        <f t="shared" si="36"/>
        <v>0</v>
      </c>
      <c r="J59" s="86">
        <f t="shared" si="23"/>
        <v>0</v>
      </c>
      <c r="K59" s="86">
        <f t="shared" si="37"/>
        <v>281000</v>
      </c>
      <c r="L59" s="81">
        <f t="shared" si="24"/>
        <v>559714.55402235035</v>
      </c>
      <c r="M59" s="229">
        <f>IF(ISNUMBER(IRR((BD$44:BD58,BC59))),IRR((BD$44:BD58,BC59)),"-")</f>
        <v>3.296492231977588E-3</v>
      </c>
      <c r="N59" s="80" cm="1">
        <f t="array" ref="N59">SUM((SUMPRODUCT((E3_Consommateurs!$D$21:$XFD$21&lt;B1_Calculs!B59)*E3_Consommateurs!$D$26:$XFD$26)+SUMPRODUCT((E3_Consommateurs!$D$21:$XFD$21=B1_Calculs!B59)*E3_Consommateurs!$D$26:$XFD$26*E3_Consommateurs!$D$20:$XFD$20))*(1+$G$30)^(B59-B$44),(SUMPRODUCT((E3_Consommateurs!$D$21:$XFD$21&lt;B1_Calculs!B59)*E3_Consommateurs!$D$27:$XFD$27)+SUMPRODUCT((E3_Consommateurs!$D$21:$XFD$21=B1_Calculs!B59)*E3_Consommateurs!$D$27:$XFD$27*E3_Consommateurs!$D$20:$XFD$20))*((1+$G$30)*(1-'E1_Données de projet'!$D$20/100))^(B59-B$44))</f>
        <v>412389.79209672124</v>
      </c>
      <c r="O59" s="86">
        <f t="shared" si="4"/>
        <v>0</v>
      </c>
      <c r="P59" s="86">
        <f t="shared" si="5"/>
        <v>0</v>
      </c>
      <c r="Q59" s="150">
        <f t="shared" si="6"/>
        <v>0</v>
      </c>
      <c r="R59" s="82"/>
      <c r="S59" s="85"/>
      <c r="T59" s="84">
        <f t="shared" si="7"/>
        <v>412389.79209672124</v>
      </c>
      <c r="U59" s="80">
        <f t="shared" si="8"/>
        <v>104812.5996984724</v>
      </c>
      <c r="V59" s="86">
        <f t="shared" si="9"/>
        <v>0</v>
      </c>
      <c r="W59" s="86">
        <f t="shared" si="10"/>
        <v>0</v>
      </c>
      <c r="X59" s="86">
        <f t="shared" si="11"/>
        <v>0</v>
      </c>
      <c r="Y59" s="81">
        <f t="shared" si="12"/>
        <v>0</v>
      </c>
      <c r="Z59" s="86">
        <f t="shared" si="13"/>
        <v>34349.020023095109</v>
      </c>
      <c r="AA59" s="81">
        <f t="shared" si="14"/>
        <v>13052.627608776142</v>
      </c>
      <c r="AB59" s="81">
        <f>($F$22*(1+$G$22)^(B59-B$44)+$F$23*(1+$G$23)^(B59-B$44))*(B59&gt;=Eing_JahrBegWLief)*VLOOKUP(B59,'E1_Données de projet'!$D$83:$I$87,6)/100</f>
        <v>36802.71588522895</v>
      </c>
      <c r="AC59" s="81">
        <f>$F$24*(1+$G$24)^(B59-B$44)*(B59&gt;=Eing_JahrBegWLief)*VLOOKUP(B59,'E1_Données de projet'!$D$83:$I$87,6)/100</f>
        <v>52475.796782723926</v>
      </c>
      <c r="AD59" s="81">
        <f t="shared" si="15"/>
        <v>40169.525855801949</v>
      </c>
      <c r="AE59" s="82"/>
      <c r="AF59" s="83"/>
      <c r="AG59" s="78">
        <f t="shared" si="16"/>
        <v>14210.526315789479</v>
      </c>
      <c r="AH59" s="84">
        <f t="shared" si="25"/>
        <v>295872.812169888</v>
      </c>
      <c r="AI59" s="80">
        <f t="shared" si="26"/>
        <v>44736.84210526316</v>
      </c>
      <c r="AJ59" s="86">
        <f t="shared" si="27"/>
        <v>340609.65427515114</v>
      </c>
      <c r="AK59" s="81">
        <f t="shared" si="28"/>
        <v>71780.137821570097</v>
      </c>
      <c r="AL59" s="87">
        <f t="shared" si="29"/>
        <v>559714.55402235035</v>
      </c>
      <c r="AM59" s="81">
        <f>('E1_Données de projet'!$D$68*(1+Eing_allg_Teuerung/100)^('E1_Données de projet'!$I$68*ROUNDDOWN((AS59-1)/'E1_Données de projet'!$I$68,0))/'E1_Données de projet'!$I$68
+'E1_Données de projet'!$D$69*(1+Eing_allg_Teuerung/100)^('E1_Données de projet'!$I$69*ROUNDDOWN((AS59-1)/'E1_Données de projet'!$I$69,0))/'E1_Données de projet'!$I$69
+'E1_Données de projet'!$D$70*(1+Eing_allg_Teuerung/100)^('E1_Données de projet'!$I$70*ROUNDDOWN((AS59-1)/'E1_Données de projet'!$I$69,0))/'E1_Données de projet'!$I$70
+'E1_Données de projet'!$D$71*(1+Eing_allg_Teuerung/100)^('E1_Données de projet'!$I$71*ROUNDDOWN((AS59-1)/'E1_Données de projet'!$I$69,0))/'E1_Données de projet'!$I$71
+'E1_Données de projet'!$D$72*(1+Eing_allg_Teuerung/100)^('E1_Données de projet'!$I$72*ROUNDDOWN((AS59-1)/'E1_Données de projet'!$I$69,0))/'E1_Données de projet'!$I$72
+'E1_Données de projet'!$D$74*(1+Eing_allg_Teuerung/100)^('E1_Données de projet'!$I$74*ROUNDDOWN((AS59-1)/'E1_Données de projet'!$I$69,0))/'E1_Données de projet'!$I$74
+'E1_Données de projet'!$D$75*(1+Eing_allg_Teuerung/100)^('E1_Données de projet'!$I$75*ROUNDDOWN((AS59-1)/'E1_Données de projet'!$I$75,0))/'E1_Données de projet'!$I$75
+'E1_Données de projet'!$D$76*(1+Eing_allg_Teuerung/100)^('E1_Données de projet'!$I$76*ROUNDDOWN((AS59-1)/'E1_Données de projet'!$I$76,0))/'E1_Données de projet'!$I$76
+'E1_Données de projet'!$D$77*(1+Eing_allg_Teuerung/100)^('E1_Données de projet'!$I$77*ROUNDDOWN((AS59-1)/'E1_Données de projet'!$I$77,0))/'E1_Données de projet'!$I$77
+'E1_Données de projet'!$D$78*(1+Eing_allg_Teuerung/100)^('E1_Données de projet'!$I$78*ROUNDDOWN((AS59-1)/'E1_Données de projet'!$I$78,0))/'E1_Données de projet'!$I$78
+'E1_Données de projet'!$D$80*(1+Eing_allg_Teuerung/100)^('E1_Données de projet'!$I$80*ROUNDDOWN((AS59-1)/'E1_Données de projet'!$I$69,0))/'E1_Données de projet'!$I$80
)*((AS59)&gt;0)*VLOOKUP(B59,'E1_Données de projet'!$D$83:$I$87,6
)/100</f>
        <v>101007.54417311892</v>
      </c>
      <c r="AN59" s="226">
        <f t="shared" si="30"/>
        <v>396880.35634300695</v>
      </c>
      <c r="AO59" s="226">
        <f t="shared" si="31"/>
        <v>15509.435753714293</v>
      </c>
      <c r="AP59" s="229">
        <f t="shared" si="38"/>
        <v>-147269.23958913534</v>
      </c>
      <c r="AQ59" s="163" cm="1">
        <f t="array" ref="AQ59">IF(AS59-1&lt;=0,0,
(Eing_Kosten_Bau*(MOD((AS59-1),Eing_Nutzungsdauer_Bau)=0)
+Eing_Invest_HolzAnlage*(MOD((AS59-1),Eing_Nutzungsdauer_Holz)=0)
+Eing_Invest_WKKAnlage*(MOD((AS59-1),Eing_Nutzungsdauer_WKK)=0)
+Eing_Invest_WPAnlage*(MOD((AS59-1),Eing_Nutzungsdauer_WP)=0)
+Eing_Invest_SondenGrundwasser*(MOD((AS59-1),Eing_Nutzungsdauer_SondenGW)=0)
+Eing_Invest_AWN*(MOD((AS59-1),Eing_Nutzungsdauer_AWN)=0)
+Eing_Invest_Spitzenlast*(MOD((AS59-1),Eing_Nutzungsdauer_Spitzenlast)=0)
+Eing_Invest_Installationen*(MOD((AS59-1),Eing_Nutzungsdauer_Installationen)=0)
+Eing_Invest_Wärmenetz*(MOD((AS59-1),Eing_Nutzungsdauer_Netz)=0)
+Eing_Invest_Messung*(MOD((AS59-1),Eing_Nutzungsdauer_Messung)=0))*(1+Eing_allg_Teuerung/100)^(AS59-1))
+(Gesamtinvestition-SUM('E1_Données de projet'!$D$79:$D$80))*SUMPRODUCT(('E1_Données de projet'!$D$83:$D$87=B59)*'E1_Données de projet'!$F$83:$F$87)/100-AM59
+AQ58</f>
        <v>1076700.4169148304</v>
      </c>
      <c r="AR59" s="88">
        <f t="shared" si="32"/>
        <v>-723684.21052631596</v>
      </c>
      <c r="AS59" s="164">
        <f>MAX(B1_Calculs!B59-'E1_Données de projet'!$D$23,0)</f>
        <v>14</v>
      </c>
      <c r="AT59" s="34">
        <f>AT58-B1_Calculs!I59</f>
        <v>0</v>
      </c>
      <c r="AU59" s="34">
        <f t="shared" si="33"/>
        <v>0</v>
      </c>
      <c r="AV59" s="34">
        <f>IF((SUM(H$44:H59)-SUM(I$44:I59))&lt;=AU59,MAX((SUM(H$44:H59)-SUM(I$44:I59)),0),AU59)</f>
        <v>0</v>
      </c>
      <c r="AW59" s="34">
        <f t="shared" si="17"/>
        <v>44736.84210526316</v>
      </c>
      <c r="AX59" s="34">
        <f t="shared" si="39"/>
        <v>223684.21052631596</v>
      </c>
      <c r="AY59" s="34">
        <f t="shared" si="34"/>
        <v>0</v>
      </c>
      <c r="AZ59" s="34">
        <f>IF((SUM(H$44:H59)-SUM(I$44:I59)-AV59)&lt;=AY59,MAX((SUM(H$44:H59)-SUM(I$44:I59)-AV59),0),AY59)</f>
        <v>0</v>
      </c>
      <c r="BA59" s="34">
        <f t="shared" si="18"/>
        <v>0</v>
      </c>
      <c r="BB59" s="34">
        <f t="shared" si="40"/>
        <v>500000</v>
      </c>
      <c r="BC59" s="89">
        <f t="shared" si="19"/>
        <v>1148480.5547364005</v>
      </c>
      <c r="BD59" s="89">
        <f t="shared" si="20"/>
        <v>71780.137821570097</v>
      </c>
    </row>
    <row r="60" spans="2:56" ht="12.95" customHeight="1" x14ac:dyDescent="0.2">
      <c r="B60" s="77">
        <f t="shared" si="35"/>
        <v>2040</v>
      </c>
      <c r="C60" s="78" cm="1">
        <f t="array" ref="C60">(SUMPRODUCT((E3_Consommateurs!$D$21:$XFD$21&lt;B1_Calculs!B60)*E3_Consommateurs!$D$18:$XFD$18)+SUMPRODUCT((E3_Consommateurs!$D$21:$XFD$21=B1_Calculs!B60)*E3_Consommateurs!$D$18:$XFD$18*E3_Consommateurs!$D$20:$XFD$20))/(100-Eing_Netzverluste)*100*(1-Eing_AbnW/100)^(B1_Calculs!B60-Eing_Beginnjahr)</f>
        <v>2226.0890393180466</v>
      </c>
      <c r="D60" s="79">
        <f t="shared" si="21"/>
        <v>108.83231962742946</v>
      </c>
      <c r="E60" s="81" cm="1">
        <f t="array" ref="E60">IF(AS60=0,0,
(Eing_Kosten_Bau*(MOD((AS60),Eing_Nutzungsdauer_Bau)=0)
+Eing_Invest_HolzAnlage*(MOD((AS60),Eing_Nutzungsdauer_Holz)=0)
+Eing_Invest_WKKAnlage*(MOD((AS60),Eing_Nutzungsdauer_WKK)=0)
+Eing_Invest_WPAnlage*(MOD((AS60),Eing_Nutzungsdauer_WP)=0)
+Eing_Invest_SondenGrundwasser*(MOD((AS60),Eing_Nutzungsdauer_SondenGW)=0)
+Eing_Invest_Zusatz*(MOD((AS60),Eing_Nutzungsdauer_Zusatz)=0)
+Eing_Invest_AWN*(MOD((AS60),Eing_Nutzungsdauer_AWN)=0)
+Eing_Invest_Spitzenlast*(MOD((AS60),Eing_Nutzungsdauer_Spitzenlast)=0)
+Eing_Invest_Installationen*(MOD((AS60),Eing_Nutzungsdauer_Installationen)=0)
+Eing_Invest_Wärmenetz*(MOD((AS60),Eing_Nutzungsdauer_Netz)=0)
+Eing_Invest_Messung*(MOD((AS60),Eing_Nutzungsdauer_Messung)=0))*(1+Eing_allg_Teuerung/100)^(AS60))
+Gesamtinvestition*SUMPRODUCT(('E1_Données de projet'!$D$83:$D$87=B60)*'E1_Données de projet'!$F$83:$F$87)/100</f>
        <v>58048.447768499922</v>
      </c>
      <c r="F60" s="150">
        <f t="shared" si="3"/>
        <v>0</v>
      </c>
      <c r="G60" s="150" cm="1">
        <f t="array" ref="G60">-SUMPRODUCT((E3_Consommateurs!$D$21:$XFD$21=B1_Calculs!B60)*E3_Consommateurs!$D$23:$XFD$23)</f>
        <v>0</v>
      </c>
      <c r="H60" s="81">
        <f t="shared" si="22"/>
        <v>58048.447768499922</v>
      </c>
      <c r="I60" s="150">
        <f t="shared" si="36"/>
        <v>0</v>
      </c>
      <c r="J60" s="86">
        <f t="shared" si="23"/>
        <v>0</v>
      </c>
      <c r="K60" s="86">
        <f t="shared" si="37"/>
        <v>222951.55223150007</v>
      </c>
      <c r="L60" s="81">
        <f t="shared" si="24"/>
        <v>633308.46836826554</v>
      </c>
      <c r="M60" s="229">
        <f>IF(ISNUMBER(IRR((BD$44:BD59,BC60))),IRR((BD$44:BD59,BC60)),"-")</f>
        <v>-8.6601907937644551E-4</v>
      </c>
      <c r="N60" s="80" cm="1">
        <f t="array" ref="N60">SUM((SUMPRODUCT((E3_Consommateurs!$D$21:$XFD$21&lt;B1_Calculs!B60)*E3_Consommateurs!$D$26:$XFD$26)+SUMPRODUCT((E3_Consommateurs!$D$21:$XFD$21=B1_Calculs!B60)*E3_Consommateurs!$D$26:$XFD$26*E3_Consommateurs!$D$20:$XFD$20))*(1+$G$30)^(B60-B$44),(SUMPRODUCT((E3_Consommateurs!$D$21:$XFD$21&lt;B1_Calculs!B60)*E3_Consommateurs!$D$27:$XFD$27)+SUMPRODUCT((E3_Consommateurs!$D$21:$XFD$21=B1_Calculs!B60)*E3_Consommateurs!$D$27:$XFD$27*E3_Consommateurs!$D$20:$XFD$20))*((1+$G$30)*(1-'E1_Données de projet'!$D$20/100))^(B60-B$44))</f>
        <v>414140.72231841303</v>
      </c>
      <c r="O60" s="86">
        <f t="shared" si="4"/>
        <v>0</v>
      </c>
      <c r="P60" s="86">
        <f t="shared" si="5"/>
        <v>0</v>
      </c>
      <c r="Q60" s="150">
        <f t="shared" si="6"/>
        <v>0</v>
      </c>
      <c r="R60" s="82"/>
      <c r="S60" s="85"/>
      <c r="T60" s="84">
        <f t="shared" si="7"/>
        <v>414140.72231841303</v>
      </c>
      <c r="U60" s="80">
        <f t="shared" si="8"/>
        <v>104802.11843850258</v>
      </c>
      <c r="V60" s="86">
        <f t="shared" si="9"/>
        <v>0</v>
      </c>
      <c r="W60" s="86">
        <f t="shared" si="10"/>
        <v>0</v>
      </c>
      <c r="X60" s="86">
        <f t="shared" si="11"/>
        <v>0</v>
      </c>
      <c r="Y60" s="81">
        <f t="shared" si="12"/>
        <v>0</v>
      </c>
      <c r="Z60" s="86">
        <f t="shared" si="13"/>
        <v>34345.585121092809</v>
      </c>
      <c r="AA60" s="81">
        <f t="shared" si="14"/>
        <v>13051.322346015268</v>
      </c>
      <c r="AB60" s="81">
        <f>($F$22*(1+$G$22)^(B60-B$44)+$F$23*(1+$G$23)^(B60-B$44))*(B60&gt;=Eing_JahrBegWLief)*VLOOKUP(B60,'E1_Données de projet'!$D$83:$I$87,6)/100</f>
        <v>37170.743044081246</v>
      </c>
      <c r="AC60" s="81">
        <f>$F$24*(1+$G$24)^(B60-B$44)*(B60&gt;=Eing_JahrBegWLief)*VLOOKUP(B60,'E1_Données de projet'!$D$83:$I$87,6)/100</f>
        <v>53000.554750551193</v>
      </c>
      <c r="AD60" s="81">
        <f t="shared" si="15"/>
        <v>40571.221114359978</v>
      </c>
      <c r="AE60" s="82"/>
      <c r="AF60" s="83"/>
      <c r="AG60" s="78">
        <f t="shared" si="16"/>
        <v>12868.421052631584</v>
      </c>
      <c r="AH60" s="84">
        <f t="shared" si="25"/>
        <v>295809.96586723463</v>
      </c>
      <c r="AI60" s="80">
        <f t="shared" si="26"/>
        <v>44736.84210526316</v>
      </c>
      <c r="AJ60" s="86">
        <f t="shared" si="27"/>
        <v>340546.80797249777</v>
      </c>
      <c r="AK60" s="81">
        <f t="shared" si="28"/>
        <v>73593.914345915255</v>
      </c>
      <c r="AL60" s="87">
        <f t="shared" si="29"/>
        <v>633308.46836826554</v>
      </c>
      <c r="AM60" s="81">
        <f>('E1_Données de projet'!$D$68*(1+Eing_allg_Teuerung/100)^('E1_Données de projet'!$I$68*ROUNDDOWN((AS60-1)/'E1_Données de projet'!$I$68,0))/'E1_Données de projet'!$I$68
+'E1_Données de projet'!$D$69*(1+Eing_allg_Teuerung/100)^('E1_Données de projet'!$I$69*ROUNDDOWN((AS60-1)/'E1_Données de projet'!$I$69,0))/'E1_Données de projet'!$I$69
+'E1_Données de projet'!$D$70*(1+Eing_allg_Teuerung/100)^('E1_Données de projet'!$I$70*ROUNDDOWN((AS60-1)/'E1_Données de projet'!$I$69,0))/'E1_Données de projet'!$I$70
+'E1_Données de projet'!$D$71*(1+Eing_allg_Teuerung/100)^('E1_Données de projet'!$I$71*ROUNDDOWN((AS60-1)/'E1_Données de projet'!$I$69,0))/'E1_Données de projet'!$I$71
+'E1_Données de projet'!$D$72*(1+Eing_allg_Teuerung/100)^('E1_Données de projet'!$I$72*ROUNDDOWN((AS60-1)/'E1_Données de projet'!$I$69,0))/'E1_Données de projet'!$I$72
+'E1_Données de projet'!$D$74*(1+Eing_allg_Teuerung/100)^('E1_Données de projet'!$I$74*ROUNDDOWN((AS60-1)/'E1_Données de projet'!$I$69,0))/'E1_Données de projet'!$I$74
+'E1_Données de projet'!$D$75*(1+Eing_allg_Teuerung/100)^('E1_Données de projet'!$I$75*ROUNDDOWN((AS60-1)/'E1_Données de projet'!$I$75,0))/'E1_Données de projet'!$I$75
+'E1_Données de projet'!$D$76*(1+Eing_allg_Teuerung/100)^('E1_Données de projet'!$I$76*ROUNDDOWN((AS60-1)/'E1_Données de projet'!$I$76,0))/'E1_Données de projet'!$I$76
+'E1_Données de projet'!$D$77*(1+Eing_allg_Teuerung/100)^('E1_Données de projet'!$I$77*ROUNDDOWN((AS60-1)/'E1_Données de projet'!$I$77,0))/'E1_Données de projet'!$I$77
+'E1_Données de projet'!$D$78*(1+Eing_allg_Teuerung/100)^('E1_Données de projet'!$I$78*ROUNDDOWN((AS60-1)/'E1_Données de projet'!$I$78,0))/'E1_Données de projet'!$I$78
+'E1_Données de projet'!$D$80*(1+Eing_allg_Teuerung/100)^('E1_Données de projet'!$I$80*ROUNDDOWN((AS60-1)/'E1_Données de projet'!$I$69,0))/'E1_Données de projet'!$I$80
)*((AS60)&gt;0)*VLOOKUP(B60,'E1_Données de projet'!$D$83:$I$87,6
)/100</f>
        <v>101007.54417311892</v>
      </c>
      <c r="AN60" s="226">
        <f t="shared" si="30"/>
        <v>396817.51004035352</v>
      </c>
      <c r="AO60" s="226">
        <f t="shared" si="31"/>
        <v>17323.212278059509</v>
      </c>
      <c r="AP60" s="229">
        <f t="shared" si="38"/>
        <v>-129946.02731107583</v>
      </c>
      <c r="AQ60" s="163" cm="1">
        <f t="array" ref="AQ60">IF(AS60-1&lt;=0,0,
(Eing_Kosten_Bau*(MOD((AS60-1),Eing_Nutzungsdauer_Bau)=0)
+Eing_Invest_HolzAnlage*(MOD((AS60-1),Eing_Nutzungsdauer_Holz)=0)
+Eing_Invest_WKKAnlage*(MOD((AS60-1),Eing_Nutzungsdauer_WKK)=0)
+Eing_Invest_WPAnlage*(MOD((AS60-1),Eing_Nutzungsdauer_WP)=0)
+Eing_Invest_SondenGrundwasser*(MOD((AS60-1),Eing_Nutzungsdauer_SondenGW)=0)
+Eing_Invest_AWN*(MOD((AS60-1),Eing_Nutzungsdauer_AWN)=0)
+Eing_Invest_Spitzenlast*(MOD((AS60-1),Eing_Nutzungsdauer_Spitzenlast)=0)
+Eing_Invest_Installationen*(MOD((AS60-1),Eing_Nutzungsdauer_Installationen)=0)
+Eing_Invest_Wärmenetz*(MOD((AS60-1),Eing_Nutzungsdauer_Netz)=0)
+Eing_Invest_Messung*(MOD((AS60-1),Eing_Nutzungsdauer_Messung)=0))*(1+Eing_allg_Teuerung/100)^(AS60-1))
+(Gesamtinvestition-SUM('E1_Données de projet'!$D$79:$D$80))*SUMPRODUCT(('E1_Données de projet'!$D$83:$D$87=B60)*'E1_Données de projet'!$F$83:$F$87)/100-AM60
+AQ59</f>
        <v>975692.87274171156</v>
      </c>
      <c r="AR60" s="88">
        <f t="shared" si="32"/>
        <v>-678947.36842105282</v>
      </c>
      <c r="AS60" s="164">
        <f>MAX(B1_Calculs!B60-'E1_Données de projet'!$D$23,0)</f>
        <v>15</v>
      </c>
      <c r="AT60" s="34">
        <f>AT59-B1_Calculs!I60</f>
        <v>0</v>
      </c>
      <c r="AU60" s="34">
        <f t="shared" si="33"/>
        <v>0</v>
      </c>
      <c r="AV60" s="34">
        <f>IF((SUM(H$44:H60)-SUM(I$44:I60))&lt;=AU60,MAX((SUM(H$44:H60)-SUM(I$44:I60)),0),AU60)</f>
        <v>0</v>
      </c>
      <c r="AW60" s="34">
        <f t="shared" si="17"/>
        <v>44736.84210526316</v>
      </c>
      <c r="AX60" s="34">
        <f t="shared" si="39"/>
        <v>178947.36842105282</v>
      </c>
      <c r="AY60" s="34">
        <f t="shared" si="34"/>
        <v>0</v>
      </c>
      <c r="AZ60" s="34">
        <f>IF((SUM(H$44:H60)-SUM(I$44:I60)-AV60)&lt;=AY60,MAX((SUM(H$44:H60)-SUM(I$44:I60)-AV60),0),AY60)</f>
        <v>0</v>
      </c>
      <c r="BA60" s="34">
        <f t="shared" si="18"/>
        <v>0</v>
      </c>
      <c r="BB60" s="34">
        <f t="shared" si="40"/>
        <v>500000</v>
      </c>
      <c r="BC60" s="89">
        <f t="shared" si="19"/>
        <v>991238.33931912691</v>
      </c>
      <c r="BD60" s="89">
        <f t="shared" si="20"/>
        <v>15545.466577415333</v>
      </c>
    </row>
    <row r="61" spans="2:56" ht="12.95" customHeight="1" x14ac:dyDescent="0.2">
      <c r="B61" s="77">
        <f t="shared" si="35"/>
        <v>2041</v>
      </c>
      <c r="C61" s="78" cm="1">
        <f t="array" ref="C61">(SUMPRODUCT((E3_Consommateurs!$D$21:$XFD$21&lt;B1_Calculs!B61)*E3_Consommateurs!$D$18:$XFD$18)+SUMPRODUCT((E3_Consommateurs!$D$21:$XFD$21=B1_Calculs!B61)*E3_Consommateurs!$D$18:$XFD$18*E3_Consommateurs!$D$20:$XFD$20))/(100-Eing_Netzverluste)*100*(1-Eing_AbnW/100)^(B1_Calculs!B61-Eing_Beginnjahr)</f>
        <v>2203.8281489248661</v>
      </c>
      <c r="D61" s="79">
        <f t="shared" si="21"/>
        <v>107.74399643115518</v>
      </c>
      <c r="E61" s="81" cm="1">
        <f t="array" ref="E61">IF(AS61=0,0,
(Eing_Kosten_Bau*(MOD((AS61),Eing_Nutzungsdauer_Bau)=0)
+Eing_Invest_HolzAnlage*(MOD((AS61),Eing_Nutzungsdauer_Holz)=0)
+Eing_Invest_WKKAnlage*(MOD((AS61),Eing_Nutzungsdauer_WKK)=0)
+Eing_Invest_WPAnlage*(MOD((AS61),Eing_Nutzungsdauer_WP)=0)
+Eing_Invest_SondenGrundwasser*(MOD((AS61),Eing_Nutzungsdauer_SondenGW)=0)
+Eing_Invest_Zusatz*(MOD((AS61),Eing_Nutzungsdauer_Zusatz)=0)
+Eing_Invest_AWN*(MOD((AS61),Eing_Nutzungsdauer_AWN)=0)
+Eing_Invest_Spitzenlast*(MOD((AS61),Eing_Nutzungsdauer_Spitzenlast)=0)
+Eing_Invest_Installationen*(MOD((AS61),Eing_Nutzungsdauer_Installationen)=0)
+Eing_Invest_Wärmenetz*(MOD((AS61),Eing_Nutzungsdauer_Netz)=0)
+Eing_Invest_Messung*(MOD((AS61),Eing_Nutzungsdauer_Messung)=0))*(1+Eing_allg_Teuerung/100)^(AS61))
+Gesamtinvestition*SUMPRODUCT(('E1_Données de projet'!$D$83:$D$87=B61)*'E1_Données de projet'!$F$83:$F$87)/100</f>
        <v>0</v>
      </c>
      <c r="F61" s="150">
        <f t="shared" si="3"/>
        <v>0</v>
      </c>
      <c r="G61" s="150" cm="1">
        <f t="array" ref="G61">-SUMPRODUCT((E3_Consommateurs!$D$21:$XFD$21=B1_Calculs!B61)*E3_Consommateurs!$D$23:$XFD$23)</f>
        <v>0</v>
      </c>
      <c r="H61" s="81">
        <f t="shared" si="22"/>
        <v>0</v>
      </c>
      <c r="I61" s="150">
        <f t="shared" si="36"/>
        <v>0</v>
      </c>
      <c r="J61" s="86">
        <f t="shared" si="23"/>
        <v>0</v>
      </c>
      <c r="K61" s="86">
        <f t="shared" si="37"/>
        <v>222951.55223150007</v>
      </c>
      <c r="L61" s="81">
        <f t="shared" si="24"/>
        <v>708720.95951151778</v>
      </c>
      <c r="M61" s="229">
        <f>IF(ISNUMBER(IRR((BD$44:BD60,BC61))),IRR((BD$44:BD60,BC61)),"-")</f>
        <v>6.2787349564175088E-4</v>
      </c>
      <c r="N61" s="80" cm="1">
        <f t="array" ref="N61">SUM((SUMPRODUCT((E3_Consommateurs!$D$21:$XFD$21&lt;B1_Calculs!B61)*E3_Consommateurs!$D$26:$XFD$26)+SUMPRODUCT((E3_Consommateurs!$D$21:$XFD$21=B1_Calculs!B61)*E3_Consommateurs!$D$26:$XFD$26*E3_Consommateurs!$D$20:$XFD$20))*(1+$G$30)^(B61-B$44),(SUMPRODUCT((E3_Consommateurs!$D$21:$XFD$21&lt;B1_Calculs!B61)*E3_Consommateurs!$D$27:$XFD$27)+SUMPRODUCT((E3_Consommateurs!$D$21:$XFD$21=B1_Calculs!B61)*E3_Consommateurs!$D$27:$XFD$27*E3_Consommateurs!$D$20:$XFD$20))*((1+$G$30)*(1-'E1_Données de projet'!$D$20/100))^(B61-B$44))</f>
        <v>415909.39913909161</v>
      </c>
      <c r="O61" s="86">
        <f t="shared" si="4"/>
        <v>0</v>
      </c>
      <c r="P61" s="86">
        <f t="shared" si="5"/>
        <v>0</v>
      </c>
      <c r="Q61" s="150">
        <f t="shared" si="6"/>
        <v>0</v>
      </c>
      <c r="R61" s="82"/>
      <c r="S61" s="85"/>
      <c r="T61" s="84">
        <f t="shared" si="7"/>
        <v>415909.39913909161</v>
      </c>
      <c r="U61" s="80">
        <f t="shared" si="8"/>
        <v>104791.63822665878</v>
      </c>
      <c r="V61" s="86">
        <f t="shared" si="9"/>
        <v>0</v>
      </c>
      <c r="W61" s="86">
        <f t="shared" si="10"/>
        <v>0</v>
      </c>
      <c r="X61" s="86">
        <f t="shared" si="11"/>
        <v>0</v>
      </c>
      <c r="Y61" s="81">
        <f t="shared" si="12"/>
        <v>0</v>
      </c>
      <c r="Z61" s="86">
        <f t="shared" si="13"/>
        <v>34342.150562580711</v>
      </c>
      <c r="AA61" s="81">
        <f t="shared" si="14"/>
        <v>13050.017213780668</v>
      </c>
      <c r="AB61" s="81">
        <f>($F$22*(1+$G$22)^(B61-B$44)+$F$23*(1+$G$23)^(B61-B$44))*(B61&gt;=Eing_JahrBegWLief)*VLOOKUP(B61,'E1_Données de projet'!$D$83:$I$87,6)/100</f>
        <v>37542.450474522062</v>
      </c>
      <c r="AC61" s="81">
        <f>$F$24*(1+$G$24)^(B61-B$44)*(B61&gt;=Eing_JahrBegWLief)*VLOOKUP(B61,'E1_Données de projet'!$D$83:$I$87,6)/100</f>
        <v>53530.560298056698</v>
      </c>
      <c r="AD61" s="81">
        <f t="shared" si="15"/>
        <v>40976.933325503574</v>
      </c>
      <c r="AE61" s="82"/>
      <c r="AF61" s="83"/>
      <c r="AG61" s="78">
        <f t="shared" si="16"/>
        <v>11526.315789473691</v>
      </c>
      <c r="AH61" s="84">
        <f t="shared" si="25"/>
        <v>295760.06589057622</v>
      </c>
      <c r="AI61" s="80">
        <f t="shared" si="26"/>
        <v>44736.84210526316</v>
      </c>
      <c r="AJ61" s="86">
        <f t="shared" si="27"/>
        <v>340496.90799583937</v>
      </c>
      <c r="AK61" s="81">
        <f t="shared" si="28"/>
        <v>75412.491143252235</v>
      </c>
      <c r="AL61" s="87">
        <f t="shared" si="29"/>
        <v>708720.95951151778</v>
      </c>
      <c r="AM61" s="81">
        <f>('E1_Données de projet'!$D$68*(1+Eing_allg_Teuerung/100)^('E1_Données de projet'!$I$68*ROUNDDOWN((AS61-1)/'E1_Données de projet'!$I$68,0))/'E1_Données de projet'!$I$68
+'E1_Données de projet'!$D$69*(1+Eing_allg_Teuerung/100)^('E1_Données de projet'!$I$69*ROUNDDOWN((AS61-1)/'E1_Données de projet'!$I$69,0))/'E1_Données de projet'!$I$69
+'E1_Données de projet'!$D$70*(1+Eing_allg_Teuerung/100)^('E1_Données de projet'!$I$70*ROUNDDOWN((AS61-1)/'E1_Données de projet'!$I$69,0))/'E1_Données de projet'!$I$70
+'E1_Données de projet'!$D$71*(1+Eing_allg_Teuerung/100)^('E1_Données de projet'!$I$71*ROUNDDOWN((AS61-1)/'E1_Données de projet'!$I$69,0))/'E1_Données de projet'!$I$71
+'E1_Données de projet'!$D$72*(1+Eing_allg_Teuerung/100)^('E1_Données de projet'!$I$72*ROUNDDOWN((AS61-1)/'E1_Données de projet'!$I$69,0))/'E1_Données de projet'!$I$72
+'E1_Données de projet'!$D$74*(1+Eing_allg_Teuerung/100)^('E1_Données de projet'!$I$74*ROUNDDOWN((AS61-1)/'E1_Données de projet'!$I$69,0))/'E1_Données de projet'!$I$74
+'E1_Données de projet'!$D$75*(1+Eing_allg_Teuerung/100)^('E1_Données de projet'!$I$75*ROUNDDOWN((AS61-1)/'E1_Données de projet'!$I$75,0))/'E1_Données de projet'!$I$75
+'E1_Données de projet'!$D$76*(1+Eing_allg_Teuerung/100)^('E1_Données de projet'!$I$76*ROUNDDOWN((AS61-1)/'E1_Données de projet'!$I$76,0))/'E1_Données de projet'!$I$76
+'E1_Données de projet'!$D$77*(1+Eing_allg_Teuerung/100)^('E1_Données de projet'!$I$77*ROUNDDOWN((AS61-1)/'E1_Données de projet'!$I$77,0))/'E1_Données de projet'!$I$77
+'E1_Données de projet'!$D$78*(1+Eing_allg_Teuerung/100)^('E1_Données de projet'!$I$78*ROUNDDOWN((AS61-1)/'E1_Données de projet'!$I$78,0))/'E1_Données de projet'!$I$78
+'E1_Données de projet'!$D$80*(1+Eing_allg_Teuerung/100)^('E1_Données de projet'!$I$80*ROUNDDOWN((AS61-1)/'E1_Données de projet'!$I$69,0))/'E1_Données de projet'!$I$80
)*((AS61)&gt;0)*VLOOKUP(B61,'E1_Données de projet'!$D$83:$I$87,6
)/100</f>
        <v>101544.10735768559</v>
      </c>
      <c r="AN61" s="226">
        <f t="shared" si="30"/>
        <v>397304.1732482618</v>
      </c>
      <c r="AO61" s="226">
        <f t="shared" si="31"/>
        <v>18605.22589082981</v>
      </c>
      <c r="AP61" s="229">
        <f t="shared" si="38"/>
        <v>-111340.80142024602</v>
      </c>
      <c r="AQ61" s="163" cm="1">
        <f t="array" ref="AQ61">IF(AS61-1&lt;=0,0,
(Eing_Kosten_Bau*(MOD((AS61-1),Eing_Nutzungsdauer_Bau)=0)
+Eing_Invest_HolzAnlage*(MOD((AS61-1),Eing_Nutzungsdauer_Holz)=0)
+Eing_Invest_WKKAnlage*(MOD((AS61-1),Eing_Nutzungsdauer_WKK)=0)
+Eing_Invest_WPAnlage*(MOD((AS61-1),Eing_Nutzungsdauer_WP)=0)
+Eing_Invest_SondenGrundwasser*(MOD((AS61-1),Eing_Nutzungsdauer_SondenGW)=0)
+Eing_Invest_AWN*(MOD((AS61-1),Eing_Nutzungsdauer_AWN)=0)
+Eing_Invest_Spitzenlast*(MOD((AS61-1),Eing_Nutzungsdauer_Spitzenlast)=0)
+Eing_Invest_Installationen*(MOD((AS61-1),Eing_Nutzungsdauer_Installationen)=0)
+Eing_Invest_Wärmenetz*(MOD((AS61-1),Eing_Nutzungsdauer_Netz)=0)
+Eing_Invest_Messung*(MOD((AS61-1),Eing_Nutzungsdauer_Messung)=0))*(1+Eing_allg_Teuerung/100)^(AS61-1))
+(Gesamtinvestition-SUM('E1_Données de projet'!$D$79:$D$80))*SUMPRODUCT(('E1_Données de projet'!$D$83:$D$87=B61)*'E1_Données de projet'!$F$83:$F$87)/100-AM61
+AQ60</f>
        <v>932197.21315252595</v>
      </c>
      <c r="AR61" s="88">
        <f t="shared" si="32"/>
        <v>-634210.52631578967</v>
      </c>
      <c r="AS61" s="164">
        <f>MAX(B1_Calculs!B61-'E1_Données de projet'!$D$23,0)</f>
        <v>16</v>
      </c>
      <c r="AT61" s="34">
        <f>AT60-B1_Calculs!I61</f>
        <v>0</v>
      </c>
      <c r="AU61" s="34">
        <f t="shared" si="33"/>
        <v>0</v>
      </c>
      <c r="AV61" s="34">
        <f>IF((SUM(H$44:H61)-SUM(I$44:I61))&lt;=AU61,MAX((SUM(H$44:H61)-SUM(I$44:I61)),0),AU61)</f>
        <v>0</v>
      </c>
      <c r="AW61" s="34">
        <f t="shared" si="17"/>
        <v>44736.84210526316</v>
      </c>
      <c r="AX61" s="34">
        <f t="shared" si="39"/>
        <v>134210.52631578967</v>
      </c>
      <c r="AY61" s="34">
        <f t="shared" si="34"/>
        <v>0</v>
      </c>
      <c r="AZ61" s="34">
        <f>IF((SUM(H$44:H61)-SUM(I$44:I61)-AV61)&lt;=AY61,MAX((SUM(H$44:H61)-SUM(I$44:I61)-AV61),0),AY61)</f>
        <v>0</v>
      </c>
      <c r="BA61" s="34">
        <f t="shared" si="18"/>
        <v>0</v>
      </c>
      <c r="BB61" s="34">
        <f t="shared" si="40"/>
        <v>500000</v>
      </c>
      <c r="BC61" s="89">
        <f t="shared" si="19"/>
        <v>1007609.7042957782</v>
      </c>
      <c r="BD61" s="89">
        <f t="shared" si="20"/>
        <v>75412.491143252235</v>
      </c>
    </row>
    <row r="62" spans="2:56" ht="12.95" customHeight="1" x14ac:dyDescent="0.2">
      <c r="B62" s="77">
        <f t="shared" si="35"/>
        <v>2042</v>
      </c>
      <c r="C62" s="78" cm="1">
        <f t="array" ref="C62">(SUMPRODUCT((E3_Consommateurs!$D$21:$XFD$21&lt;B1_Calculs!B62)*E3_Consommateurs!$D$18:$XFD$18)+SUMPRODUCT((E3_Consommateurs!$D$21:$XFD$21=B1_Calculs!B62)*E3_Consommateurs!$D$18:$XFD$18*E3_Consommateurs!$D$20:$XFD$20))/(100-Eing_Netzverluste)*100*(1-Eing_AbnW/100)^(B1_Calculs!B62-Eing_Beginnjahr)</f>
        <v>2181.7898674356175</v>
      </c>
      <c r="D62" s="79">
        <f t="shared" si="21"/>
        <v>106.66655646684362</v>
      </c>
      <c r="E62" s="81" cm="1">
        <f t="array" ref="E62">IF(AS62=0,0,
(Eing_Kosten_Bau*(MOD((AS62),Eing_Nutzungsdauer_Bau)=0)
+Eing_Invest_HolzAnlage*(MOD((AS62),Eing_Nutzungsdauer_Holz)=0)
+Eing_Invest_WKKAnlage*(MOD((AS62),Eing_Nutzungsdauer_WKK)=0)
+Eing_Invest_WPAnlage*(MOD((AS62),Eing_Nutzungsdauer_WP)=0)
+Eing_Invest_SondenGrundwasser*(MOD((AS62),Eing_Nutzungsdauer_SondenGW)=0)
+Eing_Invest_Zusatz*(MOD((AS62),Eing_Nutzungsdauer_Zusatz)=0)
+Eing_Invest_AWN*(MOD((AS62),Eing_Nutzungsdauer_AWN)=0)
+Eing_Invest_Spitzenlast*(MOD((AS62),Eing_Nutzungsdauer_Spitzenlast)=0)
+Eing_Invest_Installationen*(MOD((AS62),Eing_Nutzungsdauer_Installationen)=0)
+Eing_Invest_Wärmenetz*(MOD((AS62),Eing_Nutzungsdauer_Netz)=0)
+Eing_Invest_Messung*(MOD((AS62),Eing_Nutzungsdauer_Messung)=0))*(1+Eing_allg_Teuerung/100)^(AS62))
+Gesamtinvestition*SUMPRODUCT(('E1_Données de projet'!$D$83:$D$87=B62)*'E1_Données de projet'!$F$83:$F$87)/100</f>
        <v>0</v>
      </c>
      <c r="F62" s="150">
        <f t="shared" si="3"/>
        <v>0</v>
      </c>
      <c r="G62" s="150" cm="1">
        <f t="array" ref="G62">-SUMPRODUCT((E3_Consommateurs!$D$21:$XFD$21=B1_Calculs!B62)*E3_Consommateurs!$D$23:$XFD$23)</f>
        <v>0</v>
      </c>
      <c r="H62" s="81">
        <f t="shared" si="22"/>
        <v>0</v>
      </c>
      <c r="I62" s="150">
        <f t="shared" si="36"/>
        <v>0</v>
      </c>
      <c r="J62" s="86">
        <f t="shared" si="23"/>
        <v>0</v>
      </c>
      <c r="K62" s="86">
        <f t="shared" si="37"/>
        <v>222951.55223150007</v>
      </c>
      <c r="L62" s="81">
        <f t="shared" si="24"/>
        <v>785956.875719473</v>
      </c>
      <c r="M62" s="229">
        <f>IF(ISNUMBER(IRR((BD$44:BD61,BC62))),IRR((BD$44:BD61,BC62)),"-")</f>
        <v>-4.5786927065738503E-4</v>
      </c>
      <c r="N62" s="80" cm="1">
        <f t="array" ref="N62">SUM((SUMPRODUCT((E3_Consommateurs!$D$21:$XFD$21&lt;B1_Calculs!B62)*E3_Consommateurs!$D$26:$XFD$26)+SUMPRODUCT((E3_Consommateurs!$D$21:$XFD$21=B1_Calculs!B62)*E3_Consommateurs!$D$26:$XFD$26*E3_Consommateurs!$D$20:$XFD$20))*(1+$G$30)^(B62-B$44),(SUMPRODUCT((E3_Consommateurs!$D$21:$XFD$21&lt;B1_Calculs!B62)*E3_Consommateurs!$D$27:$XFD$27)+SUMPRODUCT((E3_Consommateurs!$D$21:$XFD$21=B1_Calculs!B62)*E3_Consommateurs!$D$27:$XFD$27*E3_Consommateurs!$D$20:$XFD$20))*((1+$G$30)*(1-'E1_Données de projet'!$D$20/100))^(B62-B$44))</f>
        <v>417696.00000101724</v>
      </c>
      <c r="O62" s="86">
        <f t="shared" si="4"/>
        <v>0</v>
      </c>
      <c r="P62" s="86">
        <f t="shared" si="5"/>
        <v>0</v>
      </c>
      <c r="Q62" s="150">
        <f t="shared" si="6"/>
        <v>0</v>
      </c>
      <c r="R62" s="82"/>
      <c r="S62" s="85"/>
      <c r="T62" s="84">
        <f t="shared" si="7"/>
        <v>417696.00000101724</v>
      </c>
      <c r="U62" s="80">
        <f t="shared" si="8"/>
        <v>104781.15906283609</v>
      </c>
      <c r="V62" s="86">
        <f t="shared" si="9"/>
        <v>0</v>
      </c>
      <c r="W62" s="86">
        <f t="shared" si="10"/>
        <v>0</v>
      </c>
      <c r="X62" s="86">
        <f t="shared" si="11"/>
        <v>0</v>
      </c>
      <c r="Y62" s="81">
        <f t="shared" si="12"/>
        <v>0</v>
      </c>
      <c r="Z62" s="86">
        <f t="shared" si="13"/>
        <v>34338.716347524445</v>
      </c>
      <c r="AA62" s="81">
        <f t="shared" si="14"/>
        <v>13048.712212059289</v>
      </c>
      <c r="AB62" s="81">
        <f>($F$22*(1+$G$22)^(B62-B$44)+$F$23*(1+$G$23)^(B62-B$44))*(B62&gt;=Eing_JahrBegWLief)*VLOOKUP(B62,'E1_Données de projet'!$D$83:$I$87,6)/100</f>
        <v>37917.87497926729</v>
      </c>
      <c r="AC62" s="81">
        <f>$F$24*(1+$G$24)^(B62-B$44)*(B62&gt;=Eing_JahrBegWLief)*VLOOKUP(B62,'E1_Données de projet'!$D$83:$I$87,6)/100</f>
        <v>54065.865901037265</v>
      </c>
      <c r="AD62" s="81">
        <f t="shared" si="15"/>
        <v>41386.702658758615</v>
      </c>
      <c r="AE62" s="82"/>
      <c r="AF62" s="83"/>
      <c r="AG62" s="78">
        <f t="shared" si="16"/>
        <v>10184.210526315796</v>
      </c>
      <c r="AH62" s="84">
        <f t="shared" si="25"/>
        <v>295723.24168779881</v>
      </c>
      <c r="AI62" s="80">
        <f t="shared" si="26"/>
        <v>44736.84210526316</v>
      </c>
      <c r="AJ62" s="86">
        <f t="shared" si="27"/>
        <v>340460.08379306196</v>
      </c>
      <c r="AK62" s="81">
        <f t="shared" si="28"/>
        <v>77235.916207955277</v>
      </c>
      <c r="AL62" s="87">
        <f t="shared" si="29"/>
        <v>785956.875719473</v>
      </c>
      <c r="AM62" s="81">
        <f>('E1_Données de projet'!$D$68*(1+Eing_allg_Teuerung/100)^('E1_Données de projet'!$I$68*ROUNDDOWN((AS62-1)/'E1_Données de projet'!$I$68,0))/'E1_Données de projet'!$I$68
+'E1_Données de projet'!$D$69*(1+Eing_allg_Teuerung/100)^('E1_Données de projet'!$I$69*ROUNDDOWN((AS62-1)/'E1_Données de projet'!$I$69,0))/'E1_Données de projet'!$I$69
+'E1_Données de projet'!$D$70*(1+Eing_allg_Teuerung/100)^('E1_Données de projet'!$I$70*ROUNDDOWN((AS62-1)/'E1_Données de projet'!$I$69,0))/'E1_Données de projet'!$I$70
+'E1_Données de projet'!$D$71*(1+Eing_allg_Teuerung/100)^('E1_Données de projet'!$I$71*ROUNDDOWN((AS62-1)/'E1_Données de projet'!$I$69,0))/'E1_Données de projet'!$I$71
+'E1_Données de projet'!$D$72*(1+Eing_allg_Teuerung/100)^('E1_Données de projet'!$I$72*ROUNDDOWN((AS62-1)/'E1_Données de projet'!$I$69,0))/'E1_Données de projet'!$I$72
+'E1_Données de projet'!$D$74*(1+Eing_allg_Teuerung/100)^('E1_Données de projet'!$I$74*ROUNDDOWN((AS62-1)/'E1_Données de projet'!$I$69,0))/'E1_Données de projet'!$I$74
+'E1_Données de projet'!$D$75*(1+Eing_allg_Teuerung/100)^('E1_Données de projet'!$I$75*ROUNDDOWN((AS62-1)/'E1_Données de projet'!$I$75,0))/'E1_Données de projet'!$I$75
+'E1_Données de projet'!$D$76*(1+Eing_allg_Teuerung/100)^('E1_Données de projet'!$I$76*ROUNDDOWN((AS62-1)/'E1_Données de projet'!$I$76,0))/'E1_Données de projet'!$I$76
+'E1_Données de projet'!$D$77*(1+Eing_allg_Teuerung/100)^('E1_Données de projet'!$I$77*ROUNDDOWN((AS62-1)/'E1_Données de projet'!$I$77,0))/'E1_Données de projet'!$I$77
+'E1_Données de projet'!$D$78*(1+Eing_allg_Teuerung/100)^('E1_Données de projet'!$I$78*ROUNDDOWN((AS62-1)/'E1_Données de projet'!$I$78,0))/'E1_Données de projet'!$I$78
+'E1_Données de projet'!$D$80*(1+Eing_allg_Teuerung/100)^('E1_Données de projet'!$I$80*ROUNDDOWN((AS62-1)/'E1_Données de projet'!$I$69,0))/'E1_Données de projet'!$I$80
)*((AS62)&gt;0)*VLOOKUP(B62,'E1_Données de projet'!$D$83:$I$87,6
)/100</f>
        <v>101544.10735768559</v>
      </c>
      <c r="AN62" s="226">
        <f t="shared" si="30"/>
        <v>397267.34904548438</v>
      </c>
      <c r="AO62" s="226">
        <f t="shared" si="31"/>
        <v>20428.650955532852</v>
      </c>
      <c r="AP62" s="229">
        <f t="shared" si="38"/>
        <v>-90912.150464713166</v>
      </c>
      <c r="AQ62" s="163" cm="1">
        <f t="array" ref="AQ62">IF(AS62-1&lt;=0,0,
(Eing_Kosten_Bau*(MOD((AS62-1),Eing_Nutzungsdauer_Bau)=0)
+Eing_Invest_HolzAnlage*(MOD((AS62-1),Eing_Nutzungsdauer_Holz)=0)
+Eing_Invest_WKKAnlage*(MOD((AS62-1),Eing_Nutzungsdauer_WKK)=0)
+Eing_Invest_WPAnlage*(MOD((AS62-1),Eing_Nutzungsdauer_WP)=0)
+Eing_Invest_SondenGrundwasser*(MOD((AS62-1),Eing_Nutzungsdauer_SondenGW)=0)
+Eing_Invest_AWN*(MOD((AS62-1),Eing_Nutzungsdauer_AWN)=0)
+Eing_Invest_Spitzenlast*(MOD((AS62-1),Eing_Nutzungsdauer_Spitzenlast)=0)
+Eing_Invest_Installationen*(MOD((AS62-1),Eing_Nutzungsdauer_Installationen)=0)
+Eing_Invest_Wärmenetz*(MOD((AS62-1),Eing_Nutzungsdauer_Netz)=0)
+Eing_Invest_Messung*(MOD((AS62-1),Eing_Nutzungsdauer_Messung)=0))*(1+Eing_allg_Teuerung/100)^(AS62-1))
+(Gesamtinvestition-SUM('E1_Données de projet'!$D$79:$D$80))*SUMPRODUCT(('E1_Données de projet'!$D$83:$D$87=B62)*'E1_Données de projet'!$F$83:$F$87)/100-AM62
+AQ61</f>
        <v>830653.10579484038</v>
      </c>
      <c r="AR62" s="88">
        <f t="shared" si="32"/>
        <v>-589473.68421052652</v>
      </c>
      <c r="AS62" s="162">
        <f>MAX(B1_Calculs!B62-'E1_Données de projet'!$D$23,0)</f>
        <v>17</v>
      </c>
      <c r="AT62" s="34">
        <f>AT61-B1_Calculs!I62</f>
        <v>0</v>
      </c>
      <c r="AU62" s="34">
        <f t="shared" si="33"/>
        <v>0</v>
      </c>
      <c r="AV62" s="34">
        <f>IF((SUM(H$44:H62)-SUM(I$44:I62))&lt;=AU62,MAX((SUM(H$44:H62)-SUM(I$44:I62)),0),AU62)</f>
        <v>0</v>
      </c>
      <c r="AW62" s="34">
        <f t="shared" si="17"/>
        <v>44736.84210526316</v>
      </c>
      <c r="AX62" s="34">
        <f t="shared" si="39"/>
        <v>89473.68421052651</v>
      </c>
      <c r="AY62" s="34">
        <f t="shared" si="34"/>
        <v>0</v>
      </c>
      <c r="AZ62" s="34">
        <f>IF((SUM(H$44:H62)-SUM(I$44:I62)-AV62)&lt;=AY62,MAX((SUM(H$44:H62)-SUM(I$44:I62)-AV62),0),AY62)</f>
        <v>0</v>
      </c>
      <c r="BA62" s="34">
        <f t="shared" si="18"/>
        <v>0</v>
      </c>
      <c r="BB62" s="34">
        <f t="shared" si="40"/>
        <v>500000</v>
      </c>
      <c r="BC62" s="89">
        <f t="shared" si="19"/>
        <v>907889.02200279571</v>
      </c>
      <c r="BD62" s="89">
        <f t="shared" si="20"/>
        <v>77235.916207955277</v>
      </c>
    </row>
    <row r="63" spans="2:56" ht="12.95" customHeight="1" x14ac:dyDescent="0.2">
      <c r="B63" s="77">
        <f t="shared" si="35"/>
        <v>2043</v>
      </c>
      <c r="C63" s="78" cm="1">
        <f t="array" ref="C63">(SUMPRODUCT((E3_Consommateurs!$D$21:$XFD$21&lt;B1_Calculs!B63)*E3_Consommateurs!$D$18:$XFD$18)+SUMPRODUCT((E3_Consommateurs!$D$21:$XFD$21=B1_Calculs!B63)*E3_Consommateurs!$D$18:$XFD$18*E3_Consommateurs!$D$20:$XFD$20))/(100-Eing_Netzverluste)*100*(1-Eing_AbnW/100)^(B1_Calculs!B63-Eing_Beginnjahr)</f>
        <v>2159.971968761261</v>
      </c>
      <c r="D63" s="79">
        <f t="shared" si="21"/>
        <v>105.59989090217516</v>
      </c>
      <c r="E63" s="81" cm="1">
        <f t="array" ref="E63">IF(AS63=0,0,
(Eing_Kosten_Bau*(MOD((AS63),Eing_Nutzungsdauer_Bau)=0)
+Eing_Invest_HolzAnlage*(MOD((AS63),Eing_Nutzungsdauer_Holz)=0)
+Eing_Invest_WKKAnlage*(MOD((AS63),Eing_Nutzungsdauer_WKK)=0)
+Eing_Invest_WPAnlage*(MOD((AS63),Eing_Nutzungsdauer_WP)=0)
+Eing_Invest_SondenGrundwasser*(MOD((AS63),Eing_Nutzungsdauer_SondenGW)=0)
+Eing_Invest_Zusatz*(MOD((AS63),Eing_Nutzungsdauer_Zusatz)=0)
+Eing_Invest_AWN*(MOD((AS63),Eing_Nutzungsdauer_AWN)=0)
+Eing_Invest_Spitzenlast*(MOD((AS63),Eing_Nutzungsdauer_Spitzenlast)=0)
+Eing_Invest_Installationen*(MOD((AS63),Eing_Nutzungsdauer_Installationen)=0)
+Eing_Invest_Wärmenetz*(MOD((AS63),Eing_Nutzungsdauer_Netz)=0)
+Eing_Invest_Messung*(MOD((AS63),Eing_Nutzungsdauer_Messung)=0))*(1+Eing_allg_Teuerung/100)^(AS63))
+Gesamtinvestition*SUMPRODUCT(('E1_Données de projet'!$D$83:$D$87=B63)*'E1_Données de projet'!$F$83:$F$87)/100</f>
        <v>0</v>
      </c>
      <c r="F63" s="150">
        <f t="shared" si="3"/>
        <v>0</v>
      </c>
      <c r="G63" s="150" cm="1">
        <f t="array" ref="G63">-SUMPRODUCT((E3_Consommateurs!$D$21:$XFD$21=B1_Calculs!B63)*E3_Consommateurs!$D$23:$XFD$23)</f>
        <v>0</v>
      </c>
      <c r="H63" s="81">
        <f t="shared" si="22"/>
        <v>0</v>
      </c>
      <c r="I63" s="150">
        <f t="shared" si="36"/>
        <v>0</v>
      </c>
      <c r="J63" s="86">
        <f t="shared" si="23"/>
        <v>0</v>
      </c>
      <c r="K63" s="86">
        <f t="shared" si="37"/>
        <v>222951.55223150007</v>
      </c>
      <c r="L63" s="81">
        <f t="shared" si="24"/>
        <v>865021.11373381561</v>
      </c>
      <c r="M63" s="229">
        <f>IF(ISNUMBER(IRR((BD$44:BD62,BC63))),IRR((BD$44:BD62,BC63)),"-")</f>
        <v>-1.4059541387065888E-3</v>
      </c>
      <c r="N63" s="80" cm="1">
        <f t="array" ref="N63">SUM((SUMPRODUCT((E3_Consommateurs!$D$21:$XFD$21&lt;B1_Calculs!B63)*E3_Consommateurs!$D$26:$XFD$26)+SUMPRODUCT((E3_Consommateurs!$D$21:$XFD$21=B1_Calculs!B63)*E3_Consommateurs!$D$26:$XFD$26*E3_Consommateurs!$D$20:$XFD$20))*(1+$G$30)^(B63-B$44),(SUMPRODUCT((E3_Consommateurs!$D$21:$XFD$21&lt;B1_Calculs!B63)*E3_Consommateurs!$D$27:$XFD$27)+SUMPRODUCT((E3_Consommateurs!$D$21:$XFD$21=B1_Calculs!B63)*E3_Consommateurs!$D$27:$XFD$27*E3_Consommateurs!$D$20:$XFD$20))*((1+$G$30)*(1-'E1_Données de projet'!$D$20/100))^(B63-B$44))</f>
        <v>419500.70412087499</v>
      </c>
      <c r="O63" s="86">
        <f t="shared" si="4"/>
        <v>0</v>
      </c>
      <c r="P63" s="86">
        <f t="shared" si="5"/>
        <v>0</v>
      </c>
      <c r="Q63" s="150">
        <f t="shared" si="6"/>
        <v>0</v>
      </c>
      <c r="R63" s="82"/>
      <c r="S63" s="85"/>
      <c r="T63" s="84">
        <f t="shared" si="7"/>
        <v>419500.70412087499</v>
      </c>
      <c r="U63" s="80">
        <f t="shared" si="8"/>
        <v>104770.68094692977</v>
      </c>
      <c r="V63" s="86">
        <f t="shared" si="9"/>
        <v>0</v>
      </c>
      <c r="W63" s="86">
        <f t="shared" si="10"/>
        <v>0</v>
      </c>
      <c r="X63" s="86">
        <f t="shared" si="11"/>
        <v>0</v>
      </c>
      <c r="Y63" s="81">
        <f t="shared" si="12"/>
        <v>0</v>
      </c>
      <c r="Z63" s="86">
        <f t="shared" si="13"/>
        <v>34335.282475889682</v>
      </c>
      <c r="AA63" s="81">
        <f t="shared" si="14"/>
        <v>13047.407340838079</v>
      </c>
      <c r="AB63" s="81">
        <f>($F$22*(1+$G$22)^(B63-B$44)+$F$23*(1+$G$23)^(B63-B$44))*(B63&gt;=Eing_JahrBegWLief)*VLOOKUP(B63,'E1_Données de projet'!$D$83:$I$87,6)/100</f>
        <v>38297.053729059953</v>
      </c>
      <c r="AC63" s="81">
        <f>$F$24*(1+$G$24)^(B63-B$44)*(B63&gt;=Eing_JahrBegWLief)*VLOOKUP(B63,'E1_Données de projet'!$D$83:$I$87,6)/100</f>
        <v>54606.524560047634</v>
      </c>
      <c r="AD63" s="81">
        <f t="shared" si="15"/>
        <v>41800.569685346192</v>
      </c>
      <c r="AE63" s="82"/>
      <c r="AF63" s="83"/>
      <c r="AG63" s="78">
        <f t="shared" si="16"/>
        <v>8842.1052631579005</v>
      </c>
      <c r="AH63" s="84">
        <f t="shared" si="25"/>
        <v>295699.62400126923</v>
      </c>
      <c r="AI63" s="80">
        <f t="shared" si="26"/>
        <v>44736.84210526316</v>
      </c>
      <c r="AJ63" s="86">
        <f t="shared" si="27"/>
        <v>340436.46610653237</v>
      </c>
      <c r="AK63" s="81">
        <f t="shared" si="28"/>
        <v>79064.238014342613</v>
      </c>
      <c r="AL63" s="87">
        <f t="shared" si="29"/>
        <v>865021.11373381561</v>
      </c>
      <c r="AM63" s="81">
        <f>('E1_Données de projet'!$D$68*(1+Eing_allg_Teuerung/100)^('E1_Données de projet'!$I$68*ROUNDDOWN((AS63-1)/'E1_Données de projet'!$I$68,0))/'E1_Données de projet'!$I$68
+'E1_Données de projet'!$D$69*(1+Eing_allg_Teuerung/100)^('E1_Données de projet'!$I$69*ROUNDDOWN((AS63-1)/'E1_Données de projet'!$I$69,0))/'E1_Données de projet'!$I$69
+'E1_Données de projet'!$D$70*(1+Eing_allg_Teuerung/100)^('E1_Données de projet'!$I$70*ROUNDDOWN((AS63-1)/'E1_Données de projet'!$I$69,0))/'E1_Données de projet'!$I$70
+'E1_Données de projet'!$D$71*(1+Eing_allg_Teuerung/100)^('E1_Données de projet'!$I$71*ROUNDDOWN((AS63-1)/'E1_Données de projet'!$I$69,0))/'E1_Données de projet'!$I$71
+'E1_Données de projet'!$D$72*(1+Eing_allg_Teuerung/100)^('E1_Données de projet'!$I$72*ROUNDDOWN((AS63-1)/'E1_Données de projet'!$I$69,0))/'E1_Données de projet'!$I$72
+'E1_Données de projet'!$D$74*(1+Eing_allg_Teuerung/100)^('E1_Données de projet'!$I$74*ROUNDDOWN((AS63-1)/'E1_Données de projet'!$I$69,0))/'E1_Données de projet'!$I$74
+'E1_Données de projet'!$D$75*(1+Eing_allg_Teuerung/100)^('E1_Données de projet'!$I$75*ROUNDDOWN((AS63-1)/'E1_Données de projet'!$I$75,0))/'E1_Données de projet'!$I$75
+'E1_Données de projet'!$D$76*(1+Eing_allg_Teuerung/100)^('E1_Données de projet'!$I$76*ROUNDDOWN((AS63-1)/'E1_Données de projet'!$I$76,0))/'E1_Données de projet'!$I$76
+'E1_Données de projet'!$D$77*(1+Eing_allg_Teuerung/100)^('E1_Données de projet'!$I$77*ROUNDDOWN((AS63-1)/'E1_Données de projet'!$I$77,0))/'E1_Données de projet'!$I$77
+'E1_Données de projet'!$D$78*(1+Eing_allg_Teuerung/100)^('E1_Données de projet'!$I$78*ROUNDDOWN((AS63-1)/'E1_Données de projet'!$I$78,0))/'E1_Données de projet'!$I$78
+'E1_Données de projet'!$D$80*(1+Eing_allg_Teuerung/100)^('E1_Données de projet'!$I$80*ROUNDDOWN((AS63-1)/'E1_Données de projet'!$I$69,0))/'E1_Données de projet'!$I$80
)*((AS63)&gt;0)*VLOOKUP(B63,'E1_Données de projet'!$D$83:$I$87,6
)/100</f>
        <v>101544.10735768559</v>
      </c>
      <c r="AN63" s="226">
        <f t="shared" si="30"/>
        <v>397243.7313589548</v>
      </c>
      <c r="AO63" s="226">
        <f t="shared" si="31"/>
        <v>22256.972761920188</v>
      </c>
      <c r="AP63" s="229">
        <f t="shared" si="38"/>
        <v>-68655.177702792978</v>
      </c>
      <c r="AQ63" s="163" cm="1">
        <f t="array" ref="AQ63">IF(AS63-1&lt;=0,0,
(Eing_Kosten_Bau*(MOD((AS63-1),Eing_Nutzungsdauer_Bau)=0)
+Eing_Invest_HolzAnlage*(MOD((AS63-1),Eing_Nutzungsdauer_Holz)=0)
+Eing_Invest_WKKAnlage*(MOD((AS63-1),Eing_Nutzungsdauer_WKK)=0)
+Eing_Invest_WPAnlage*(MOD((AS63-1),Eing_Nutzungsdauer_WP)=0)
+Eing_Invest_SondenGrundwasser*(MOD((AS63-1),Eing_Nutzungsdauer_SondenGW)=0)
+Eing_Invest_AWN*(MOD((AS63-1),Eing_Nutzungsdauer_AWN)=0)
+Eing_Invest_Spitzenlast*(MOD((AS63-1),Eing_Nutzungsdauer_Spitzenlast)=0)
+Eing_Invest_Installationen*(MOD((AS63-1),Eing_Nutzungsdauer_Installationen)=0)
+Eing_Invest_Wärmenetz*(MOD((AS63-1),Eing_Nutzungsdauer_Netz)=0)
+Eing_Invest_Messung*(MOD((AS63-1),Eing_Nutzungsdauer_Messung)=0))*(1+Eing_allg_Teuerung/100)^(AS63-1))
+(Gesamtinvestition-SUM('E1_Données de projet'!$D$79:$D$80))*SUMPRODUCT(('E1_Données de projet'!$D$83:$D$87=B63)*'E1_Données de projet'!$F$83:$F$87)/100-AM63
+AQ62</f>
        <v>729108.99843715481</v>
      </c>
      <c r="AR63" s="88">
        <f t="shared" si="32"/>
        <v>-544736.84210526338</v>
      </c>
      <c r="AS63" s="164">
        <f>MAX(B1_Calculs!B63-'E1_Données de projet'!$D$23,0)</f>
        <v>18</v>
      </c>
      <c r="AT63" s="34">
        <f>AT62-B1_Calculs!I63</f>
        <v>0</v>
      </c>
      <c r="AU63" s="34">
        <f t="shared" si="33"/>
        <v>0</v>
      </c>
      <c r="AV63" s="34">
        <f>IF((SUM(H$44:H63)-SUM(I$44:I63))&lt;=AU63,MAX((SUM(H$44:H63)-SUM(I$44:I63)),0),AU63)</f>
        <v>0</v>
      </c>
      <c r="AW63" s="34">
        <f t="shared" si="17"/>
        <v>44736.84210526316</v>
      </c>
      <c r="AX63" s="34">
        <f t="shared" si="39"/>
        <v>44736.842105263349</v>
      </c>
      <c r="AY63" s="34">
        <f t="shared" si="34"/>
        <v>0</v>
      </c>
      <c r="AZ63" s="34">
        <f>IF((SUM(H$44:H63)-SUM(I$44:I63)-AV63)&lt;=AY63,MAX((SUM(H$44:H63)-SUM(I$44:I63)-AV63),0),AY63)</f>
        <v>0</v>
      </c>
      <c r="BA63" s="34">
        <f t="shared" si="18"/>
        <v>0</v>
      </c>
      <c r="BB63" s="34">
        <f t="shared" si="40"/>
        <v>500000</v>
      </c>
      <c r="BC63" s="89">
        <f t="shared" si="19"/>
        <v>808173.23645149742</v>
      </c>
      <c r="BD63" s="89">
        <f t="shared" si="20"/>
        <v>79064.238014342613</v>
      </c>
    </row>
    <row r="64" spans="2:56" ht="12.95" customHeight="1" x14ac:dyDescent="0.2">
      <c r="B64" s="77">
        <f t="shared" si="35"/>
        <v>2044</v>
      </c>
      <c r="C64" s="78" cm="1">
        <f t="array" ref="C64">(SUMPRODUCT((E3_Consommateurs!$D$21:$XFD$21&lt;B1_Calculs!B64)*E3_Consommateurs!$D$18:$XFD$18)+SUMPRODUCT((E3_Consommateurs!$D$21:$XFD$21=B1_Calculs!B64)*E3_Consommateurs!$D$18:$XFD$18*E3_Consommateurs!$D$20:$XFD$20))/(100-Eing_Netzverluste)*100*(1-Eing_AbnW/100)^(B1_Calculs!B64-Eing_Beginnjahr)</f>
        <v>2138.3722490736486</v>
      </c>
      <c r="D64" s="79">
        <f t="shared" si="21"/>
        <v>104.54389199315341</v>
      </c>
      <c r="E64" s="81" cm="1">
        <f t="array" ref="E64">IF(AS64=0,0,
(Eing_Kosten_Bau*(MOD((AS64),Eing_Nutzungsdauer_Bau)=0)
+Eing_Invest_HolzAnlage*(MOD((AS64),Eing_Nutzungsdauer_Holz)=0)
+Eing_Invest_WKKAnlage*(MOD((AS64),Eing_Nutzungsdauer_WKK)=0)
+Eing_Invest_WPAnlage*(MOD((AS64),Eing_Nutzungsdauer_WP)=0)
+Eing_Invest_SondenGrundwasser*(MOD((AS64),Eing_Nutzungsdauer_SondenGW)=0)
+Eing_Invest_Zusatz*(MOD((AS64),Eing_Nutzungsdauer_Zusatz)=0)
+Eing_Invest_AWN*(MOD((AS64),Eing_Nutzungsdauer_AWN)=0)
+Eing_Invest_Spitzenlast*(MOD((AS64),Eing_Nutzungsdauer_Spitzenlast)=0)
+Eing_Invest_Installationen*(MOD((AS64),Eing_Nutzungsdauer_Installationen)=0)
+Eing_Invest_Wärmenetz*(MOD((AS64),Eing_Nutzungsdauer_Netz)=0)
+Eing_Invest_Messung*(MOD((AS64),Eing_Nutzungsdauer_Messung)=0))*(1+Eing_allg_Teuerung/100)^(AS64))
+Gesamtinvestition*SUMPRODUCT(('E1_Données de projet'!$D$83:$D$87=B64)*'E1_Données de projet'!$F$83:$F$87)/100</f>
        <v>0</v>
      </c>
      <c r="F64" s="150">
        <f t="shared" si="3"/>
        <v>0</v>
      </c>
      <c r="G64" s="150" cm="1">
        <f t="array" ref="G64">-SUMPRODUCT((E3_Consommateurs!$D$21:$XFD$21=B1_Calculs!B64)*E3_Consommateurs!$D$23:$XFD$23)</f>
        <v>0</v>
      </c>
      <c r="H64" s="81">
        <f t="shared" si="22"/>
        <v>0</v>
      </c>
      <c r="I64" s="150">
        <f t="shared" si="36"/>
        <v>0</v>
      </c>
      <c r="J64" s="86">
        <f t="shared" si="23"/>
        <v>0</v>
      </c>
      <c r="K64" s="86">
        <f t="shared" si="37"/>
        <v>222951.55223150007</v>
      </c>
      <c r="L64" s="81">
        <f t="shared" si="24"/>
        <v>945918.61925529235</v>
      </c>
      <c r="M64" s="229">
        <f>IF(ISNUMBER(IRR((BD$44:BD63,BC64))),IRR((BD$44:BD63,BC64)),"-")</f>
        <v>-2.2377638876012185E-3</v>
      </c>
      <c r="N64" s="80" cm="1">
        <f t="array" ref="N64">SUM((SUMPRODUCT((E3_Consommateurs!$D$21:$XFD$21&lt;B1_Calculs!B64)*E3_Consommateurs!$D$26:$XFD$26)+SUMPRODUCT((E3_Consommateurs!$D$21:$XFD$21=B1_Calculs!B64)*E3_Consommateurs!$D$26:$XFD$26*E3_Consommateurs!$D$20:$XFD$20))*(1+$G$30)^(B64-B$44),(SUMPRODUCT((E3_Consommateurs!$D$21:$XFD$21&lt;B1_Calculs!B64)*E3_Consommateurs!$D$27:$XFD$27)+SUMPRODUCT((E3_Consommateurs!$D$21:$XFD$21=B1_Calculs!B64)*E3_Consommateurs!$D$27:$XFD$27*E3_Consommateurs!$D$20:$XFD$20))*((1+$G$30)*(1-'E1_Données de projet'!$D$20/100))^(B64-B$44))</f>
        <v>421323.69250751939</v>
      </c>
      <c r="O64" s="86">
        <f t="shared" si="4"/>
        <v>0</v>
      </c>
      <c r="P64" s="86">
        <f t="shared" si="5"/>
        <v>0</v>
      </c>
      <c r="Q64" s="150">
        <f t="shared" si="6"/>
        <v>0</v>
      </c>
      <c r="R64" s="82"/>
      <c r="S64" s="85"/>
      <c r="T64" s="84">
        <f t="shared" si="7"/>
        <v>421323.69250751939</v>
      </c>
      <c r="U64" s="80">
        <f t="shared" si="8"/>
        <v>104760.20387883509</v>
      </c>
      <c r="V64" s="86">
        <f t="shared" si="9"/>
        <v>0</v>
      </c>
      <c r="W64" s="86">
        <f t="shared" si="10"/>
        <v>0</v>
      </c>
      <c r="X64" s="86">
        <f t="shared" si="11"/>
        <v>0</v>
      </c>
      <c r="Y64" s="81">
        <f t="shared" si="12"/>
        <v>0</v>
      </c>
      <c r="Z64" s="86">
        <f t="shared" si="13"/>
        <v>34331.848947642095</v>
      </c>
      <c r="AA64" s="81">
        <f t="shared" si="14"/>
        <v>13046.102600103995</v>
      </c>
      <c r="AB64" s="81">
        <f>($F$22*(1+$G$22)^(B64-B$44)+$F$23*(1+$G$23)^(B64-B$44))*(B64&gt;=Eing_JahrBegWLief)*VLOOKUP(B64,'E1_Données de projet'!$D$83:$I$87,6)/100</f>
        <v>38680.024266350556</v>
      </c>
      <c r="AC64" s="81">
        <f>$F$24*(1+$G$24)^(B64-B$44)*(B64&gt;=Eing_JahrBegWLief)*VLOOKUP(B64,'E1_Données de projet'!$D$83:$I$87,6)/100</f>
        <v>55152.589805648109</v>
      </c>
      <c r="AD64" s="81">
        <f t="shared" si="15"/>
        <v>42218.575382199662</v>
      </c>
      <c r="AE64" s="82"/>
      <c r="AF64" s="83"/>
      <c r="AG64" s="78">
        <f t="shared" si="16"/>
        <v>7500.0000000000055</v>
      </c>
      <c r="AH64" s="84">
        <f t="shared" si="25"/>
        <v>295689.34488077951</v>
      </c>
      <c r="AI64" s="80">
        <f t="shared" si="26"/>
        <v>44736.84210526316</v>
      </c>
      <c r="AJ64" s="86">
        <f t="shared" si="27"/>
        <v>340426.18698604265</v>
      </c>
      <c r="AK64" s="81">
        <f t="shared" si="28"/>
        <v>80897.505521476734</v>
      </c>
      <c r="AL64" s="87">
        <f t="shared" si="29"/>
        <v>945918.61925529235</v>
      </c>
      <c r="AM64" s="81">
        <f>('E1_Données de projet'!$D$68*(1+Eing_allg_Teuerung/100)^('E1_Données de projet'!$I$68*ROUNDDOWN((AS64-1)/'E1_Données de projet'!$I$68,0))/'E1_Données de projet'!$I$68
+'E1_Données de projet'!$D$69*(1+Eing_allg_Teuerung/100)^('E1_Données de projet'!$I$69*ROUNDDOWN((AS64-1)/'E1_Données de projet'!$I$69,0))/'E1_Données de projet'!$I$69
+'E1_Données de projet'!$D$70*(1+Eing_allg_Teuerung/100)^('E1_Données de projet'!$I$70*ROUNDDOWN((AS64-1)/'E1_Données de projet'!$I$69,0))/'E1_Données de projet'!$I$70
+'E1_Données de projet'!$D$71*(1+Eing_allg_Teuerung/100)^('E1_Données de projet'!$I$71*ROUNDDOWN((AS64-1)/'E1_Données de projet'!$I$69,0))/'E1_Données de projet'!$I$71
+'E1_Données de projet'!$D$72*(1+Eing_allg_Teuerung/100)^('E1_Données de projet'!$I$72*ROUNDDOWN((AS64-1)/'E1_Données de projet'!$I$69,0))/'E1_Données de projet'!$I$72
+'E1_Données de projet'!$D$74*(1+Eing_allg_Teuerung/100)^('E1_Données de projet'!$I$74*ROUNDDOWN((AS64-1)/'E1_Données de projet'!$I$69,0))/'E1_Données de projet'!$I$74
+'E1_Données de projet'!$D$75*(1+Eing_allg_Teuerung/100)^('E1_Données de projet'!$I$75*ROUNDDOWN((AS64-1)/'E1_Données de projet'!$I$75,0))/'E1_Données de projet'!$I$75
+'E1_Données de projet'!$D$76*(1+Eing_allg_Teuerung/100)^('E1_Données de projet'!$I$76*ROUNDDOWN((AS64-1)/'E1_Données de projet'!$I$76,0))/'E1_Données de projet'!$I$76
+'E1_Données de projet'!$D$77*(1+Eing_allg_Teuerung/100)^('E1_Données de projet'!$I$77*ROUNDDOWN((AS64-1)/'E1_Données de projet'!$I$77,0))/'E1_Données de projet'!$I$77
+'E1_Données de projet'!$D$78*(1+Eing_allg_Teuerung/100)^('E1_Données de projet'!$I$78*ROUNDDOWN((AS64-1)/'E1_Données de projet'!$I$78,0))/'E1_Données de projet'!$I$78
+'E1_Données de projet'!$D$80*(1+Eing_allg_Teuerung/100)^('E1_Données de projet'!$I$80*ROUNDDOWN((AS64-1)/'E1_Données de projet'!$I$69,0))/'E1_Données de projet'!$I$80
)*((AS64)&gt;0)*VLOOKUP(B64,'E1_Données de projet'!$D$83:$I$87,6
)/100</f>
        <v>101544.10735768559</v>
      </c>
      <c r="AN64" s="226">
        <f t="shared" si="30"/>
        <v>397233.45223846508</v>
      </c>
      <c r="AO64" s="226">
        <f t="shared" si="31"/>
        <v>24090.240269054309</v>
      </c>
      <c r="AP64" s="229">
        <f t="shared" si="38"/>
        <v>-44564.937433738669</v>
      </c>
      <c r="AQ64" s="163" cm="1">
        <f t="array" ref="AQ64">IF(AS64-1&lt;=0,0,
(Eing_Kosten_Bau*(MOD((AS64-1),Eing_Nutzungsdauer_Bau)=0)
+Eing_Invest_HolzAnlage*(MOD((AS64-1),Eing_Nutzungsdauer_Holz)=0)
+Eing_Invest_WKKAnlage*(MOD((AS64-1),Eing_Nutzungsdauer_WKK)=0)
+Eing_Invest_WPAnlage*(MOD((AS64-1),Eing_Nutzungsdauer_WP)=0)
+Eing_Invest_SondenGrundwasser*(MOD((AS64-1),Eing_Nutzungsdauer_SondenGW)=0)
+Eing_Invest_AWN*(MOD((AS64-1),Eing_Nutzungsdauer_AWN)=0)
+Eing_Invest_Spitzenlast*(MOD((AS64-1),Eing_Nutzungsdauer_Spitzenlast)=0)
+Eing_Invest_Installationen*(MOD((AS64-1),Eing_Nutzungsdauer_Installationen)=0)
+Eing_Invest_Wärmenetz*(MOD((AS64-1),Eing_Nutzungsdauer_Netz)=0)
+Eing_Invest_Messung*(MOD((AS64-1),Eing_Nutzungsdauer_Messung)=0))*(1+Eing_allg_Teuerung/100)^(AS64-1))
+(Gesamtinvestition-SUM('E1_Données de projet'!$D$79:$D$80))*SUMPRODUCT(('E1_Données de projet'!$D$83:$D$87=B64)*'E1_Données de projet'!$F$83:$F$87)/100-AM64
+AQ63</f>
        <v>627564.89107946923</v>
      </c>
      <c r="AR64" s="88">
        <f t="shared" si="32"/>
        <v>-500000.00000000017</v>
      </c>
      <c r="AS64" s="164">
        <f>MAX(B1_Calculs!B64-'E1_Données de projet'!$D$23,0)</f>
        <v>19</v>
      </c>
      <c r="AT64" s="34">
        <f>AT63-B1_Calculs!I64</f>
        <v>0</v>
      </c>
      <c r="AU64" s="34">
        <f t="shared" si="33"/>
        <v>0</v>
      </c>
      <c r="AV64" s="34">
        <f>IF((SUM(H$44:H64)-SUM(I$44:I64))&lt;=AU64,MAX((SUM(H$44:H64)-SUM(I$44:I64)),0),AU64)</f>
        <v>0</v>
      </c>
      <c r="AW64" s="34">
        <f t="shared" si="17"/>
        <v>44736.84210526316</v>
      </c>
      <c r="AX64" s="34">
        <f t="shared" si="39"/>
        <v>1.8917489796876907E-10</v>
      </c>
      <c r="AY64" s="34">
        <f t="shared" si="34"/>
        <v>0</v>
      </c>
      <c r="AZ64" s="34">
        <f>IF((SUM(H$44:H64)-SUM(I$44:I64)-AV64)&lt;=AY64,MAX((SUM(H$44:H64)-SUM(I$44:I64)-AV64),0),AY64)</f>
        <v>0</v>
      </c>
      <c r="BA64" s="34">
        <f t="shared" si="18"/>
        <v>0</v>
      </c>
      <c r="BB64" s="34">
        <f t="shared" si="40"/>
        <v>500000</v>
      </c>
      <c r="BC64" s="89">
        <f t="shared" si="19"/>
        <v>708462.39660094597</v>
      </c>
      <c r="BD64" s="89">
        <f t="shared" si="20"/>
        <v>80897.505521476734</v>
      </c>
    </row>
    <row r="65" spans="2:56" ht="12.95" customHeight="1" x14ac:dyDescent="0.2">
      <c r="B65" s="77">
        <f t="shared" si="35"/>
        <v>2045</v>
      </c>
      <c r="C65" s="78" cm="1">
        <f t="array" ref="C65">(SUMPRODUCT((E3_Consommateurs!$D$21:$XFD$21&lt;B1_Calculs!B65)*E3_Consommateurs!$D$18:$XFD$18)+SUMPRODUCT((E3_Consommateurs!$D$21:$XFD$21=B1_Calculs!B65)*E3_Consommateurs!$D$18:$XFD$18*E3_Consommateurs!$D$20:$XFD$20))/(100-Eing_Netzverluste)*100*(1-Eing_AbnW/100)^(B1_Calculs!B65-Eing_Beginnjahr)</f>
        <v>2116.9885265829121</v>
      </c>
      <c r="D65" s="79">
        <f t="shared" si="21"/>
        <v>103.4984530732219</v>
      </c>
      <c r="E65" s="81" cm="1">
        <f t="array" ref="E65">IF(AS65=0,0,
(Eing_Kosten_Bau*(MOD((AS65),Eing_Nutzungsdauer_Bau)=0)
+Eing_Invest_HolzAnlage*(MOD((AS65),Eing_Nutzungsdauer_Holz)=0)
+Eing_Invest_WKKAnlage*(MOD((AS65),Eing_Nutzungsdauer_WKK)=0)
+Eing_Invest_WPAnlage*(MOD((AS65),Eing_Nutzungsdauer_WP)=0)
+Eing_Invest_SondenGrundwasser*(MOD((AS65),Eing_Nutzungsdauer_SondenGW)=0)
+Eing_Invest_Zusatz*(MOD((AS65),Eing_Nutzungsdauer_Zusatz)=0)
+Eing_Invest_AWN*(MOD((AS65),Eing_Nutzungsdauer_AWN)=0)
+Eing_Invest_Spitzenlast*(MOD((AS65),Eing_Nutzungsdauer_Spitzenlast)=0)
+Eing_Invest_Installationen*(MOD((AS65),Eing_Nutzungsdauer_Installationen)=0)
+Eing_Invest_Wärmenetz*(MOD((AS65),Eing_Nutzungsdauer_Netz)=0)
+Eing_Invest_Messung*(MOD((AS65),Eing_Nutzungsdauer_Messung)=0))*(1+Eing_allg_Teuerung/100)^(AS65))
+Gesamtinvestition*SUMPRODUCT(('E1_Données de projet'!$D$83:$D$87=B65)*'E1_Données de projet'!$F$83:$F$87)/100</f>
        <v>1354410.9443422435</v>
      </c>
      <c r="F65" s="150">
        <f t="shared" si="3"/>
        <v>0</v>
      </c>
      <c r="G65" s="150" cm="1">
        <f t="array" ref="G65">-SUMPRODUCT((E3_Consommateurs!$D$21:$XFD$21=B1_Calculs!B65)*E3_Consommateurs!$D$23:$XFD$23)</f>
        <v>0</v>
      </c>
      <c r="H65" s="81">
        <f t="shared" si="22"/>
        <v>1354410.9443422435</v>
      </c>
      <c r="I65" s="150">
        <f t="shared" si="36"/>
        <v>0</v>
      </c>
      <c r="J65" s="86">
        <f t="shared" si="23"/>
        <v>0</v>
      </c>
      <c r="K65" s="86">
        <f t="shared" si="37"/>
        <v>-1131459.3921107433</v>
      </c>
      <c r="L65" s="81">
        <f t="shared" si="24"/>
        <v>1072049.1242754092</v>
      </c>
      <c r="M65" s="229" t="str">
        <f>IF(ISNUMBER(IRR((BD$44:BD64,BC65))),IRR((BD$44:BD64,BC65)),"-")</f>
        <v>-</v>
      </c>
      <c r="N65" s="80" cm="1">
        <f t="array" ref="N65">SUM((SUMPRODUCT((E3_Consommateurs!$D$21:$XFD$21&lt;B1_Calculs!B65)*E3_Consommateurs!$D$26:$XFD$26)+SUMPRODUCT((E3_Consommateurs!$D$21:$XFD$21=B1_Calculs!B65)*E3_Consommateurs!$D$26:$XFD$26*E3_Consommateurs!$D$20:$XFD$20))*(1+$G$30)^(B65-B$44),(SUMPRODUCT((E3_Consommateurs!$D$21:$XFD$21&lt;B1_Calculs!B65)*E3_Consommateurs!$D$27:$XFD$27)+SUMPRODUCT((E3_Consommateurs!$D$21:$XFD$21=B1_Calculs!B65)*E3_Consommateurs!$D$27:$XFD$27*E3_Consommateurs!$D$20:$XFD$20))*((1+$G$30)*(1-'E1_Données de projet'!$D$20/100))^(B65-B$44))</f>
        <v>423165.14797989564</v>
      </c>
      <c r="O65" s="86">
        <f t="shared" si="4"/>
        <v>0</v>
      </c>
      <c r="P65" s="86">
        <f t="shared" si="5"/>
        <v>0</v>
      </c>
      <c r="Q65" s="150">
        <f t="shared" si="6"/>
        <v>0</v>
      </c>
      <c r="R65" s="82"/>
      <c r="S65" s="85"/>
      <c r="T65" s="84">
        <f t="shared" si="7"/>
        <v>423165.14797989564</v>
      </c>
      <c r="U65" s="80">
        <f t="shared" si="8"/>
        <v>104749.72785844721</v>
      </c>
      <c r="V65" s="86">
        <f t="shared" si="9"/>
        <v>0</v>
      </c>
      <c r="W65" s="86">
        <f t="shared" si="10"/>
        <v>0</v>
      </c>
      <c r="X65" s="86">
        <f t="shared" si="11"/>
        <v>0</v>
      </c>
      <c r="Y65" s="81">
        <f t="shared" si="12"/>
        <v>0</v>
      </c>
      <c r="Z65" s="86">
        <f t="shared" si="13"/>
        <v>34328.415762747332</v>
      </c>
      <c r="AA65" s="81">
        <f t="shared" si="14"/>
        <v>13044.797989843986</v>
      </c>
      <c r="AB65" s="81">
        <f>($F$22*(1+$G$22)^(B65-B$44)+$F$23*(1+$G$23)^(B65-B$44))*(B65&gt;=Eing_JahrBegWLief)*VLOOKUP(B65,'E1_Données de projet'!$D$83:$I$87,6)/100</f>
        <v>39066.824509014055</v>
      </c>
      <c r="AC65" s="81">
        <f>$F$24*(1+$G$24)^(B65-B$44)*(B65&gt;=Eing_JahrBegWLief)*VLOOKUP(B65,'E1_Données de projet'!$D$83:$I$87,6)/100</f>
        <v>55704.115703704578</v>
      </c>
      <c r="AD65" s="81">
        <f t="shared" si="15"/>
        <v>42640.761136021654</v>
      </c>
      <c r="AE65" s="82"/>
      <c r="AF65" s="83"/>
      <c r="AG65" s="78">
        <f t="shared" si="16"/>
        <v>7500.0000000000055</v>
      </c>
      <c r="AH65" s="84">
        <f t="shared" si="25"/>
        <v>297034.64295977878</v>
      </c>
      <c r="AI65" s="80">
        <f t="shared" si="26"/>
        <v>0</v>
      </c>
      <c r="AJ65" s="86">
        <f t="shared" si="27"/>
        <v>297034.64295977878</v>
      </c>
      <c r="AK65" s="81">
        <f t="shared" si="28"/>
        <v>126130.50502011686</v>
      </c>
      <c r="AL65" s="87">
        <f t="shared" si="29"/>
        <v>1072049.1242754092</v>
      </c>
      <c r="AM65" s="81">
        <f>('E1_Données de projet'!$D$68*(1+Eing_allg_Teuerung/100)^('E1_Données de projet'!$I$68*ROUNDDOWN((AS65-1)/'E1_Données de projet'!$I$68,0))/'E1_Données de projet'!$I$68
+'E1_Données de projet'!$D$69*(1+Eing_allg_Teuerung/100)^('E1_Données de projet'!$I$69*ROUNDDOWN((AS65-1)/'E1_Données de projet'!$I$69,0))/'E1_Données de projet'!$I$69
+'E1_Données de projet'!$D$70*(1+Eing_allg_Teuerung/100)^('E1_Données de projet'!$I$70*ROUNDDOWN((AS65-1)/'E1_Données de projet'!$I$69,0))/'E1_Données de projet'!$I$70
+'E1_Données de projet'!$D$71*(1+Eing_allg_Teuerung/100)^('E1_Données de projet'!$I$71*ROUNDDOWN((AS65-1)/'E1_Données de projet'!$I$69,0))/'E1_Données de projet'!$I$71
+'E1_Données de projet'!$D$72*(1+Eing_allg_Teuerung/100)^('E1_Données de projet'!$I$72*ROUNDDOWN((AS65-1)/'E1_Données de projet'!$I$69,0))/'E1_Données de projet'!$I$72
+'E1_Données de projet'!$D$74*(1+Eing_allg_Teuerung/100)^('E1_Données de projet'!$I$74*ROUNDDOWN((AS65-1)/'E1_Données de projet'!$I$69,0))/'E1_Données de projet'!$I$74
+'E1_Données de projet'!$D$75*(1+Eing_allg_Teuerung/100)^('E1_Données de projet'!$I$75*ROUNDDOWN((AS65-1)/'E1_Données de projet'!$I$75,0))/'E1_Données de projet'!$I$75
+'E1_Données de projet'!$D$76*(1+Eing_allg_Teuerung/100)^('E1_Données de projet'!$I$76*ROUNDDOWN((AS65-1)/'E1_Données de projet'!$I$76,0))/'E1_Données de projet'!$I$76
+'E1_Données de projet'!$D$77*(1+Eing_allg_Teuerung/100)^('E1_Données de projet'!$I$77*ROUNDDOWN((AS65-1)/'E1_Données de projet'!$I$77,0))/'E1_Données de projet'!$I$77
+'E1_Données de projet'!$D$78*(1+Eing_allg_Teuerung/100)^('E1_Données de projet'!$I$78*ROUNDDOWN((AS65-1)/'E1_Données de projet'!$I$78,0))/'E1_Données de projet'!$I$78
+'E1_Données de projet'!$D$80*(1+Eing_allg_Teuerung/100)^('E1_Données de projet'!$I$80*ROUNDDOWN((AS65-1)/'E1_Données de projet'!$I$69,0))/'E1_Données de projet'!$I$80
)*((AS65)&gt;0)*VLOOKUP(B65,'E1_Données de projet'!$D$83:$I$87,6
)/100</f>
        <v>101544.10735768559</v>
      </c>
      <c r="AN65" s="226">
        <f t="shared" si="30"/>
        <v>398578.75031746435</v>
      </c>
      <c r="AO65" s="226">
        <f t="shared" si="31"/>
        <v>24586.397662431293</v>
      </c>
      <c r="AP65" s="229">
        <f t="shared" si="38"/>
        <v>-19978.539771307376</v>
      </c>
      <c r="AQ65" s="163" cm="1">
        <f t="array" ref="AQ65">IF(AS65-1&lt;=0,0,
(Eing_Kosten_Bau*(MOD((AS65-1),Eing_Nutzungsdauer_Bau)=0)
+Eing_Invest_HolzAnlage*(MOD((AS65-1),Eing_Nutzungsdauer_Holz)=0)
+Eing_Invest_WKKAnlage*(MOD((AS65-1),Eing_Nutzungsdauer_WKK)=0)
+Eing_Invest_WPAnlage*(MOD((AS65-1),Eing_Nutzungsdauer_WP)=0)
+Eing_Invest_SondenGrundwasser*(MOD((AS65-1),Eing_Nutzungsdauer_SondenGW)=0)
+Eing_Invest_AWN*(MOD((AS65-1),Eing_Nutzungsdauer_AWN)=0)
+Eing_Invest_Spitzenlast*(MOD((AS65-1),Eing_Nutzungsdauer_Spitzenlast)=0)
+Eing_Invest_Installationen*(MOD((AS65-1),Eing_Nutzungsdauer_Installationen)=0)
+Eing_Invest_Wärmenetz*(MOD((AS65-1),Eing_Nutzungsdauer_Netz)=0)
+Eing_Invest_Messung*(MOD((AS65-1),Eing_Nutzungsdauer_Messung)=0))*(1+Eing_allg_Teuerung/100)^(AS65-1))
+(Gesamtinvestition-SUM('E1_Données de projet'!$D$79:$D$80))*SUMPRODUCT(('E1_Données de projet'!$D$83:$D$87=B65)*'E1_Données de projet'!$F$83:$F$87)/100-AM65
+AQ64</f>
        <v>526020.78372178366</v>
      </c>
      <c r="AR65" s="88">
        <f t="shared" si="32"/>
        <v>-500000.00000000017</v>
      </c>
      <c r="AS65" s="164">
        <f>MAX(B1_Calculs!B65-'E1_Données de projet'!$D$23,0)</f>
        <v>20</v>
      </c>
      <c r="AT65" s="34">
        <f>AT64-B1_Calculs!I65</f>
        <v>0</v>
      </c>
      <c r="AU65" s="34">
        <f t="shared" si="33"/>
        <v>0</v>
      </c>
      <c r="AV65" s="34">
        <f>IF((SUM(H$44:H65)-SUM(I$44:I65))&lt;=AU65,MAX((SUM(H$44:H65)-SUM(I$44:I65)),0),AU65)</f>
        <v>0</v>
      </c>
      <c r="AW65" s="34">
        <f t="shared" si="17"/>
        <v>0</v>
      </c>
      <c r="AX65" s="34">
        <f t="shared" si="39"/>
        <v>1.8917489796876907E-10</v>
      </c>
      <c r="AY65" s="34">
        <f t="shared" si="34"/>
        <v>0</v>
      </c>
      <c r="AZ65" s="34">
        <f>IF((SUM(H$44:H65)-SUM(I$44:I65)-AV65)&lt;=AY65,MAX((SUM(H$44:H65)-SUM(I$44:I65)-AV65),0),AY65)</f>
        <v>0</v>
      </c>
      <c r="BA65" s="34">
        <f t="shared" si="18"/>
        <v>0</v>
      </c>
      <c r="BB65" s="34">
        <f t="shared" si="40"/>
        <v>500000</v>
      </c>
      <c r="BC65" s="89">
        <f t="shared" si="19"/>
        <v>-702259.6556003429</v>
      </c>
      <c r="BD65" s="89">
        <f t="shared" si="20"/>
        <v>-1228280.4393221266</v>
      </c>
    </row>
    <row r="66" spans="2:56" ht="12.95" customHeight="1" x14ac:dyDescent="0.2">
      <c r="B66" s="77">
        <f t="shared" si="35"/>
        <v>2046</v>
      </c>
      <c r="C66" s="78" cm="1">
        <f t="array" ref="C66">(SUMPRODUCT((E3_Consommateurs!$D$21:$XFD$21&lt;B1_Calculs!B66)*E3_Consommateurs!$D$18:$XFD$18)+SUMPRODUCT((E3_Consommateurs!$D$21:$XFD$21=B1_Calculs!B66)*E3_Consommateurs!$D$18:$XFD$18*E3_Consommateurs!$D$20:$XFD$20))/(100-Eing_Netzverluste)*100*(1-Eing_AbnW/100)^(B1_Calculs!B66-Eing_Beginnjahr)</f>
        <v>2095.8186413170824</v>
      </c>
      <c r="D66" s="79">
        <f t="shared" si="21"/>
        <v>102.46346854248965</v>
      </c>
      <c r="E66" s="81" cm="1">
        <f t="array" ref="E66">IF(AS66=0,0,
(Eing_Kosten_Bau*(MOD((AS66),Eing_Nutzungsdauer_Bau)=0)
+Eing_Invest_HolzAnlage*(MOD((AS66),Eing_Nutzungsdauer_Holz)=0)
+Eing_Invest_WKKAnlage*(MOD((AS66),Eing_Nutzungsdauer_WKK)=0)
+Eing_Invest_WPAnlage*(MOD((AS66),Eing_Nutzungsdauer_WP)=0)
+Eing_Invest_SondenGrundwasser*(MOD((AS66),Eing_Nutzungsdauer_SondenGW)=0)
+Eing_Invest_Zusatz*(MOD((AS66),Eing_Nutzungsdauer_Zusatz)=0)
+Eing_Invest_AWN*(MOD((AS66),Eing_Nutzungsdauer_AWN)=0)
+Eing_Invest_Spitzenlast*(MOD((AS66),Eing_Nutzungsdauer_Spitzenlast)=0)
+Eing_Invest_Installationen*(MOD((AS66),Eing_Nutzungsdauer_Installationen)=0)
+Eing_Invest_Wärmenetz*(MOD((AS66),Eing_Nutzungsdauer_Netz)=0)
+Eing_Invest_Messung*(MOD((AS66),Eing_Nutzungsdauer_Messung)=0))*(1+Eing_allg_Teuerung/100)^(AS66))
+Gesamtinvestition*SUMPRODUCT(('E1_Données de projet'!$D$83:$D$87=B66)*'E1_Données de projet'!$F$83:$F$87)/100</f>
        <v>0</v>
      </c>
      <c r="F66" s="150">
        <f t="shared" si="3"/>
        <v>0</v>
      </c>
      <c r="G66" s="150" cm="1">
        <f t="array" ref="G66">-SUMPRODUCT((E3_Consommateurs!$D$21:$XFD$21=B1_Calculs!B66)*E3_Consommateurs!$D$23:$XFD$23)</f>
        <v>0</v>
      </c>
      <c r="H66" s="81">
        <f t="shared" si="22"/>
        <v>0</v>
      </c>
      <c r="I66" s="150">
        <f t="shared" si="36"/>
        <v>0</v>
      </c>
      <c r="J66" s="86">
        <f t="shared" si="23"/>
        <v>0</v>
      </c>
      <c r="K66" s="86">
        <f t="shared" si="37"/>
        <v>-1131459.3921107433</v>
      </c>
      <c r="L66" s="81">
        <f t="shared" si="24"/>
        <v>1198680.8317814451</v>
      </c>
      <c r="M66" s="229">
        <f>IF(ISNUMBER(IRR((BD$44:BD65,BC66))),IRR((BD$44:BD65,BC66)),"-")</f>
        <v>-7.7412726195857928E-4</v>
      </c>
      <c r="N66" s="80" cm="1">
        <f t="array" ref="N66">SUM((SUMPRODUCT((E3_Consommateurs!$D$21:$XFD$21&lt;B1_Calculs!B66)*E3_Consommateurs!$D$26:$XFD$26)+SUMPRODUCT((E3_Consommateurs!$D$21:$XFD$21=B1_Calculs!B66)*E3_Consommateurs!$D$26:$XFD$26*E3_Consommateurs!$D$20:$XFD$20))*(1+$G$30)^(B66-B$44),(SUMPRODUCT((E3_Consommateurs!$D$21:$XFD$21&lt;B1_Calculs!B66)*E3_Consommateurs!$D$27:$XFD$27)+SUMPRODUCT((E3_Consommateurs!$D$21:$XFD$21=B1_Calculs!B66)*E3_Consommateurs!$D$27:$XFD$27*E3_Consommateurs!$D$20:$XFD$20))*((1+$G$30)*(1-'E1_Données de projet'!$D$20/100))^(B66-B$44))</f>
        <v>425025.255185141</v>
      </c>
      <c r="O66" s="86">
        <f t="shared" si="4"/>
        <v>0</v>
      </c>
      <c r="P66" s="86">
        <f t="shared" si="5"/>
        <v>0</v>
      </c>
      <c r="Q66" s="150">
        <f t="shared" si="6"/>
        <v>0</v>
      </c>
      <c r="R66" s="82"/>
      <c r="S66" s="85"/>
      <c r="T66" s="84">
        <f t="shared" si="7"/>
        <v>425025.255185141</v>
      </c>
      <c r="U66" s="80">
        <f t="shared" si="8"/>
        <v>104739.25288566135</v>
      </c>
      <c r="V66" s="86">
        <f t="shared" si="9"/>
        <v>0</v>
      </c>
      <c r="W66" s="86">
        <f t="shared" si="10"/>
        <v>0</v>
      </c>
      <c r="X66" s="86">
        <f t="shared" si="11"/>
        <v>0</v>
      </c>
      <c r="Y66" s="81">
        <f t="shared" si="12"/>
        <v>0</v>
      </c>
      <c r="Z66" s="86">
        <f t="shared" si="13"/>
        <v>34324.98292117106</v>
      </c>
      <c r="AA66" s="81">
        <f t="shared" si="14"/>
        <v>13043.493510045</v>
      </c>
      <c r="AB66" s="81">
        <f>($F$22*(1+$G$22)^(B66-B$44)+$F$23*(1+$G$23)^(B66-B$44))*(B66&gt;=Eing_JahrBegWLief)*VLOOKUP(B66,'E1_Données de projet'!$D$83:$I$87,6)/100</f>
        <v>39457.492754104213</v>
      </c>
      <c r="AC66" s="81">
        <f>$F$24*(1+$G$24)^(B66-B$44)*(B66&gt;=Eing_JahrBegWLief)*VLOOKUP(B66,'E1_Données de projet'!$D$83:$I$87,6)/100</f>
        <v>56261.156860741648</v>
      </c>
      <c r="AD66" s="81">
        <f t="shared" si="15"/>
        <v>43067.168747381875</v>
      </c>
      <c r="AE66" s="82"/>
      <c r="AF66" s="83"/>
      <c r="AG66" s="78">
        <f t="shared" si="16"/>
        <v>7500.0000000000055</v>
      </c>
      <c r="AH66" s="84">
        <f t="shared" si="25"/>
        <v>298393.54767910513</v>
      </c>
      <c r="AI66" s="80">
        <f t="shared" si="26"/>
        <v>0</v>
      </c>
      <c r="AJ66" s="86">
        <f t="shared" si="27"/>
        <v>298393.54767910513</v>
      </c>
      <c r="AK66" s="81">
        <f t="shared" si="28"/>
        <v>126631.70750603586</v>
      </c>
      <c r="AL66" s="87">
        <f t="shared" si="29"/>
        <v>1198680.8317814451</v>
      </c>
      <c r="AM66" s="81">
        <f>('E1_Données de projet'!$D$68*(1+Eing_allg_Teuerung/100)^('E1_Données de projet'!$I$68*ROUNDDOWN((AS66-1)/'E1_Données de projet'!$I$68,0))/'E1_Données de projet'!$I$68
+'E1_Données de projet'!$D$69*(1+Eing_allg_Teuerung/100)^('E1_Données de projet'!$I$69*ROUNDDOWN((AS66-1)/'E1_Données de projet'!$I$69,0))/'E1_Données de projet'!$I$69
+'E1_Données de projet'!$D$70*(1+Eing_allg_Teuerung/100)^('E1_Données de projet'!$I$70*ROUNDDOWN((AS66-1)/'E1_Données de projet'!$I$69,0))/'E1_Données de projet'!$I$70
+'E1_Données de projet'!$D$71*(1+Eing_allg_Teuerung/100)^('E1_Données de projet'!$I$71*ROUNDDOWN((AS66-1)/'E1_Données de projet'!$I$69,0))/'E1_Données de projet'!$I$71
+'E1_Données de projet'!$D$72*(1+Eing_allg_Teuerung/100)^('E1_Données de projet'!$I$72*ROUNDDOWN((AS66-1)/'E1_Données de projet'!$I$69,0))/'E1_Données de projet'!$I$72
+'E1_Données de projet'!$D$74*(1+Eing_allg_Teuerung/100)^('E1_Données de projet'!$I$74*ROUNDDOWN((AS66-1)/'E1_Données de projet'!$I$69,0))/'E1_Données de projet'!$I$74
+'E1_Données de projet'!$D$75*(1+Eing_allg_Teuerung/100)^('E1_Données de projet'!$I$75*ROUNDDOWN((AS66-1)/'E1_Données de projet'!$I$75,0))/'E1_Données de projet'!$I$75
+'E1_Données de projet'!$D$76*(1+Eing_allg_Teuerung/100)^('E1_Données de projet'!$I$76*ROUNDDOWN((AS66-1)/'E1_Données de projet'!$I$76,0))/'E1_Données de projet'!$I$76
+'E1_Données de projet'!$D$77*(1+Eing_allg_Teuerung/100)^('E1_Données de projet'!$I$77*ROUNDDOWN((AS66-1)/'E1_Données de projet'!$I$77,0))/'E1_Données de projet'!$I$77
+'E1_Données de projet'!$D$78*(1+Eing_allg_Teuerung/100)^('E1_Données de projet'!$I$78*ROUNDDOWN((AS66-1)/'E1_Données de projet'!$I$78,0))/'E1_Données de projet'!$I$78
+'E1_Données de projet'!$D$80*(1+Eing_allg_Teuerung/100)^('E1_Données de projet'!$I$80*ROUNDDOWN((AS66-1)/'E1_Données de projet'!$I$69,0))/'E1_Données de projet'!$I$80
)*((AS66)&gt;0)*VLOOKUP(B66,'E1_Données de projet'!$D$83:$I$87,6
)/100</f>
        <v>118440.62969333494</v>
      </c>
      <c r="AN66" s="226">
        <f t="shared" si="30"/>
        <v>416834.17737244006</v>
      </c>
      <c r="AO66" s="226">
        <f t="shared" si="31"/>
        <v>8191.0778127009398</v>
      </c>
      <c r="AP66" s="229">
        <f t="shared" si="38"/>
        <v>-11787.461958606436</v>
      </c>
      <c r="AQ66" s="163" cm="1">
        <f t="array" ref="AQ66">IF(AS66-1&lt;=0,0,
(Eing_Kosten_Bau*(MOD((AS66-1),Eing_Nutzungsdauer_Bau)=0)
+Eing_Invest_HolzAnlage*(MOD((AS66-1),Eing_Nutzungsdauer_Holz)=0)
+Eing_Invest_WKKAnlage*(MOD((AS66-1),Eing_Nutzungsdauer_WKK)=0)
+Eing_Invest_WPAnlage*(MOD((AS66-1),Eing_Nutzungsdauer_WP)=0)
+Eing_Invest_SondenGrundwasser*(MOD((AS66-1),Eing_Nutzungsdauer_SondenGW)=0)
+Eing_Invest_AWN*(MOD((AS66-1),Eing_Nutzungsdauer_AWN)=0)
+Eing_Invest_Spitzenlast*(MOD((AS66-1),Eing_Nutzungsdauer_Spitzenlast)=0)
+Eing_Invest_Installationen*(MOD((AS66-1),Eing_Nutzungsdauer_Installationen)=0)
+Eing_Invest_Wärmenetz*(MOD((AS66-1),Eing_Nutzungsdauer_Netz)=0)
+Eing_Invest_Messung*(MOD((AS66-1),Eing_Nutzungsdauer_Messung)=0))*(1+Eing_allg_Teuerung/100)^(AS66-1))
+(Gesamtinvestition-SUM('E1_Données de projet'!$D$79:$D$80))*SUMPRODUCT(('E1_Données de projet'!$D$83:$D$87=B66)*'E1_Données de projet'!$F$83:$F$87)/100-AM66
+AQ65</f>
        <v>1761991.0983706922</v>
      </c>
      <c r="AR66" s="88">
        <f t="shared" si="32"/>
        <v>-500000.00000000017</v>
      </c>
      <c r="AS66" s="164">
        <f>MAX(B1_Calculs!B66-'E1_Données de projet'!$D$23,0)</f>
        <v>21</v>
      </c>
      <c r="AT66" s="34">
        <f>AT65-B1_Calculs!I66</f>
        <v>0</v>
      </c>
      <c r="AU66" s="34">
        <f t="shared" si="33"/>
        <v>0</v>
      </c>
      <c r="AV66" s="34">
        <f>IF((SUM(H$44:H66)-SUM(I$44:I66))&lt;=AU66,MAX((SUM(H$44:H66)-SUM(I$44:I66)),0),AU66)</f>
        <v>0</v>
      </c>
      <c r="AW66" s="34">
        <f t="shared" si="17"/>
        <v>0</v>
      </c>
      <c r="AX66" s="34">
        <f t="shared" si="39"/>
        <v>1.8917489796876907E-10</v>
      </c>
      <c r="AY66" s="34">
        <f t="shared" si="34"/>
        <v>0</v>
      </c>
      <c r="AZ66" s="34">
        <f>IF((SUM(H$44:H66)-SUM(I$44:I66)-AV66)&lt;=AY66,MAX((SUM(H$44:H66)-SUM(I$44:I66)-AV66),0),AY66)</f>
        <v>0</v>
      </c>
      <c r="BA66" s="34">
        <f t="shared" si="18"/>
        <v>0</v>
      </c>
      <c r="BB66" s="34">
        <f t="shared" si="40"/>
        <v>500000</v>
      </c>
      <c r="BC66" s="89">
        <f t="shared" si="19"/>
        <v>1888622.8058767281</v>
      </c>
      <c r="BD66" s="89">
        <f t="shared" si="20"/>
        <v>126631.70750603586</v>
      </c>
    </row>
    <row r="67" spans="2:56" ht="12.95" customHeight="1" x14ac:dyDescent="0.2">
      <c r="B67" s="77">
        <f t="shared" si="35"/>
        <v>2047</v>
      </c>
      <c r="C67" s="78" cm="1">
        <f t="array" ref="C67">(SUMPRODUCT((E3_Consommateurs!$D$21:$XFD$21&lt;B1_Calculs!B67)*E3_Consommateurs!$D$18:$XFD$18)+SUMPRODUCT((E3_Consommateurs!$D$21:$XFD$21=B1_Calculs!B67)*E3_Consommateurs!$D$18:$XFD$18*E3_Consommateurs!$D$20:$XFD$20))/(100-Eing_Netzverluste)*100*(1-Eing_AbnW/100)^(B1_Calculs!B67-Eing_Beginnjahr)</f>
        <v>2074.8604549039119</v>
      </c>
      <c r="D67" s="79">
        <f t="shared" si="21"/>
        <v>101.43883385706476</v>
      </c>
      <c r="E67" s="81" cm="1">
        <f t="array" ref="E67">IF(AS67=0,0,
(Eing_Kosten_Bau*(MOD((AS67),Eing_Nutzungsdauer_Bau)=0)
+Eing_Invest_HolzAnlage*(MOD((AS67),Eing_Nutzungsdauer_Holz)=0)
+Eing_Invest_WKKAnlage*(MOD((AS67),Eing_Nutzungsdauer_WKK)=0)
+Eing_Invest_WPAnlage*(MOD((AS67),Eing_Nutzungsdauer_WP)=0)
+Eing_Invest_SondenGrundwasser*(MOD((AS67),Eing_Nutzungsdauer_SondenGW)=0)
+Eing_Invest_Zusatz*(MOD((AS67),Eing_Nutzungsdauer_Zusatz)=0)
+Eing_Invest_AWN*(MOD((AS67),Eing_Nutzungsdauer_AWN)=0)
+Eing_Invest_Spitzenlast*(MOD((AS67),Eing_Nutzungsdauer_Spitzenlast)=0)
+Eing_Invest_Installationen*(MOD((AS67),Eing_Nutzungsdauer_Installationen)=0)
+Eing_Invest_Wärmenetz*(MOD((AS67),Eing_Nutzungsdauer_Netz)=0)
+Eing_Invest_Messung*(MOD((AS67),Eing_Nutzungsdauer_Messung)=0))*(1+Eing_allg_Teuerung/100)^(AS67))
+Gesamtinvestition*SUMPRODUCT(('E1_Données de projet'!$D$83:$D$87=B67)*'E1_Données de projet'!$F$83:$F$87)/100</f>
        <v>0</v>
      </c>
      <c r="F67" s="150">
        <f t="shared" si="3"/>
        <v>0</v>
      </c>
      <c r="G67" s="150" cm="1">
        <f t="array" ref="G67">-SUMPRODUCT((E3_Consommateurs!$D$21:$XFD$21=B1_Calculs!B67)*E3_Consommateurs!$D$23:$XFD$23)</f>
        <v>0</v>
      </c>
      <c r="H67" s="81">
        <f t="shared" si="22"/>
        <v>0</v>
      </c>
      <c r="I67" s="150">
        <f t="shared" si="36"/>
        <v>0</v>
      </c>
      <c r="J67" s="86">
        <f t="shared" si="23"/>
        <v>0</v>
      </c>
      <c r="K67" s="86">
        <f t="shared" si="37"/>
        <v>-1131459.3921107433</v>
      </c>
      <c r="L67" s="81">
        <f t="shared" si="24"/>
        <v>1325818.8373085156</v>
      </c>
      <c r="M67" s="229">
        <f>IF(ISNUMBER(IRR((BD$44:BD66,BC67))),IRR((BD$44:BD66,BC67)),"-")</f>
        <v>-4.2081352099276881E-4</v>
      </c>
      <c r="N67" s="80" cm="1">
        <f t="array" ref="N67">SUM((SUMPRODUCT((E3_Consommateurs!$D$21:$XFD$21&lt;B1_Calculs!B67)*E3_Consommateurs!$D$26:$XFD$26)+SUMPRODUCT((E3_Consommateurs!$D$21:$XFD$21=B1_Calculs!B67)*E3_Consommateurs!$D$26:$XFD$26*E3_Consommateurs!$D$20:$XFD$20))*(1+$G$30)^(B67-B$44),(SUMPRODUCT((E3_Consommateurs!$D$21:$XFD$21&lt;B1_Calculs!B67)*E3_Consommateurs!$D$27:$XFD$27)+SUMPRODUCT((E3_Consommateurs!$D$21:$XFD$21=B1_Calculs!B67)*E3_Consommateurs!$D$27:$XFD$27*E3_Consommateurs!$D$20:$XFD$20))*((1+$G$30)*(1-'E1_Données de projet'!$D$20/100))^(B67-B$44))</f>
        <v>426904.20061686623</v>
      </c>
      <c r="O67" s="86">
        <f t="shared" si="4"/>
        <v>0</v>
      </c>
      <c r="P67" s="86">
        <f t="shared" si="5"/>
        <v>0</v>
      </c>
      <c r="Q67" s="150">
        <f t="shared" si="6"/>
        <v>0</v>
      </c>
      <c r="R67" s="82"/>
      <c r="S67" s="85"/>
      <c r="T67" s="84">
        <f t="shared" si="7"/>
        <v>426904.20061686623</v>
      </c>
      <c r="U67" s="80">
        <f t="shared" si="8"/>
        <v>104728.77896037277</v>
      </c>
      <c r="V67" s="86">
        <f t="shared" si="9"/>
        <v>0</v>
      </c>
      <c r="W67" s="86">
        <f t="shared" si="10"/>
        <v>0</v>
      </c>
      <c r="X67" s="86">
        <f t="shared" si="11"/>
        <v>0</v>
      </c>
      <c r="Y67" s="81">
        <f t="shared" si="12"/>
        <v>0</v>
      </c>
      <c r="Z67" s="86">
        <f t="shared" si="13"/>
        <v>34321.550422878936</v>
      </c>
      <c r="AA67" s="81">
        <f t="shared" si="14"/>
        <v>13042.189160693995</v>
      </c>
      <c r="AB67" s="81">
        <f>($F$22*(1+$G$22)^(B67-B$44)+$F$23*(1+$G$23)^(B67-B$44))*(B67&gt;=Eing_JahrBegWLief)*VLOOKUP(B67,'E1_Données de projet'!$D$83:$I$87,6)/100</f>
        <v>39852.067681645247</v>
      </c>
      <c r="AC67" s="81">
        <f>$F$24*(1+$G$24)^(B67-B$44)*(B67&gt;=Eing_JahrBegWLief)*VLOOKUP(B67,'E1_Données de projet'!$D$83:$I$87,6)/100</f>
        <v>56823.768429349053</v>
      </c>
      <c r="AD67" s="81">
        <f t="shared" si="15"/>
        <v>43497.840434855687</v>
      </c>
      <c r="AE67" s="82"/>
      <c r="AF67" s="83"/>
      <c r="AG67" s="78">
        <f t="shared" si="16"/>
        <v>7500.0000000000055</v>
      </c>
      <c r="AH67" s="84">
        <f t="shared" si="25"/>
        <v>299766.19508979568</v>
      </c>
      <c r="AI67" s="80">
        <f t="shared" si="26"/>
        <v>0</v>
      </c>
      <c r="AJ67" s="86">
        <f t="shared" si="27"/>
        <v>299766.19508979568</v>
      </c>
      <c r="AK67" s="81">
        <f t="shared" si="28"/>
        <v>127138.00552707055</v>
      </c>
      <c r="AL67" s="87">
        <f t="shared" si="29"/>
        <v>1325818.8373085156</v>
      </c>
      <c r="AM67" s="81">
        <f>('E1_Données de projet'!$D$68*(1+Eing_allg_Teuerung/100)^('E1_Données de projet'!$I$68*ROUNDDOWN((AS67-1)/'E1_Données de projet'!$I$68,0))/'E1_Données de projet'!$I$68
+'E1_Données de projet'!$D$69*(1+Eing_allg_Teuerung/100)^('E1_Données de projet'!$I$69*ROUNDDOWN((AS67-1)/'E1_Données de projet'!$I$69,0))/'E1_Données de projet'!$I$69
+'E1_Données de projet'!$D$70*(1+Eing_allg_Teuerung/100)^('E1_Données de projet'!$I$70*ROUNDDOWN((AS67-1)/'E1_Données de projet'!$I$69,0))/'E1_Données de projet'!$I$70
+'E1_Données de projet'!$D$71*(1+Eing_allg_Teuerung/100)^('E1_Données de projet'!$I$71*ROUNDDOWN((AS67-1)/'E1_Données de projet'!$I$69,0))/'E1_Données de projet'!$I$71
+'E1_Données de projet'!$D$72*(1+Eing_allg_Teuerung/100)^('E1_Données de projet'!$I$72*ROUNDDOWN((AS67-1)/'E1_Données de projet'!$I$69,0))/'E1_Données de projet'!$I$72
+'E1_Données de projet'!$D$74*(1+Eing_allg_Teuerung/100)^('E1_Données de projet'!$I$74*ROUNDDOWN((AS67-1)/'E1_Données de projet'!$I$69,0))/'E1_Données de projet'!$I$74
+'E1_Données de projet'!$D$75*(1+Eing_allg_Teuerung/100)^('E1_Données de projet'!$I$75*ROUNDDOWN((AS67-1)/'E1_Données de projet'!$I$75,0))/'E1_Données de projet'!$I$75
+'E1_Données de projet'!$D$76*(1+Eing_allg_Teuerung/100)^('E1_Données de projet'!$I$76*ROUNDDOWN((AS67-1)/'E1_Données de projet'!$I$76,0))/'E1_Données de projet'!$I$76
+'E1_Données de projet'!$D$77*(1+Eing_allg_Teuerung/100)^('E1_Données de projet'!$I$77*ROUNDDOWN((AS67-1)/'E1_Données de projet'!$I$77,0))/'E1_Données de projet'!$I$77
+'E1_Données de projet'!$D$78*(1+Eing_allg_Teuerung/100)^('E1_Données de projet'!$I$78*ROUNDDOWN((AS67-1)/'E1_Données de projet'!$I$78,0))/'E1_Données de projet'!$I$78
+'E1_Données de projet'!$D$80*(1+Eing_allg_Teuerung/100)^('E1_Données de projet'!$I$80*ROUNDDOWN((AS67-1)/'E1_Données de projet'!$I$69,0))/'E1_Données de projet'!$I$80
)*((AS67)&gt;0)*VLOOKUP(B67,'E1_Données de projet'!$D$83:$I$87,6
)/100</f>
        <v>118440.62969333494</v>
      </c>
      <c r="AN67" s="226">
        <f t="shared" si="30"/>
        <v>418206.82478313061</v>
      </c>
      <c r="AO67" s="226">
        <f t="shared" si="31"/>
        <v>8697.3758337356267</v>
      </c>
      <c r="AP67" s="229">
        <f t="shared" si="38"/>
        <v>-3090.0861248708097</v>
      </c>
      <c r="AQ67" s="163" cm="1">
        <f t="array" ref="AQ67">IF(AS67-1&lt;=0,0,
(Eing_Kosten_Bau*(MOD((AS67-1),Eing_Nutzungsdauer_Bau)=0)
+Eing_Invest_HolzAnlage*(MOD((AS67-1),Eing_Nutzungsdauer_Holz)=0)
+Eing_Invest_WKKAnlage*(MOD((AS67-1),Eing_Nutzungsdauer_WKK)=0)
+Eing_Invest_WPAnlage*(MOD((AS67-1),Eing_Nutzungsdauer_WP)=0)
+Eing_Invest_SondenGrundwasser*(MOD((AS67-1),Eing_Nutzungsdauer_SondenGW)=0)
+Eing_Invest_AWN*(MOD((AS67-1),Eing_Nutzungsdauer_AWN)=0)
+Eing_Invest_Spitzenlast*(MOD((AS67-1),Eing_Nutzungsdauer_Spitzenlast)=0)
+Eing_Invest_Installationen*(MOD((AS67-1),Eing_Nutzungsdauer_Installationen)=0)
+Eing_Invest_Wärmenetz*(MOD((AS67-1),Eing_Nutzungsdauer_Netz)=0)
+Eing_Invest_Messung*(MOD((AS67-1),Eing_Nutzungsdauer_Messung)=0))*(1+Eing_allg_Teuerung/100)^(AS67-1))
+(Gesamtinvestition-SUM('E1_Données de projet'!$D$79:$D$80))*SUMPRODUCT(('E1_Données de projet'!$D$83:$D$87=B67)*'E1_Données de projet'!$F$83:$F$87)/100-AM67
+AQ66</f>
        <v>1643550.4686773573</v>
      </c>
      <c r="AR67" s="88">
        <f t="shared" si="32"/>
        <v>-500000.00000000017</v>
      </c>
      <c r="AS67" s="164">
        <f>MAX(B1_Calculs!B67-'E1_Données de projet'!$D$23,0)</f>
        <v>22</v>
      </c>
      <c r="AT67" s="34">
        <f>AT66-B1_Calculs!I67</f>
        <v>0</v>
      </c>
      <c r="AU67" s="34">
        <f t="shared" si="33"/>
        <v>0</v>
      </c>
      <c r="AV67" s="34">
        <f>IF((SUM(H$44:H67)-SUM(I$44:I67))&lt;=AU67,MAX((SUM(H$44:H67)-SUM(I$44:I67)),0),AU67)</f>
        <v>0</v>
      </c>
      <c r="AW67" s="34">
        <f t="shared" si="17"/>
        <v>0</v>
      </c>
      <c r="AX67" s="34">
        <f t="shared" si="39"/>
        <v>1.8917489796876907E-10</v>
      </c>
      <c r="AY67" s="34">
        <f t="shared" si="34"/>
        <v>0</v>
      </c>
      <c r="AZ67" s="34">
        <f>IF((SUM(H$44:H67)-SUM(I$44:I67)-AV67)&lt;=AY67,MAX((SUM(H$44:H67)-SUM(I$44:I67)-AV67),0),AY67)</f>
        <v>0</v>
      </c>
      <c r="BA67" s="34">
        <f t="shared" si="18"/>
        <v>0</v>
      </c>
      <c r="BB67" s="34">
        <f t="shared" si="40"/>
        <v>500000</v>
      </c>
      <c r="BC67" s="89">
        <f t="shared" si="19"/>
        <v>1770688.4742044278</v>
      </c>
      <c r="BD67" s="89">
        <f t="shared" si="20"/>
        <v>127138.00552707055</v>
      </c>
    </row>
    <row r="68" spans="2:56" ht="12.75" customHeight="1" x14ac:dyDescent="0.2">
      <c r="B68" s="90">
        <f t="shared" si="35"/>
        <v>2048</v>
      </c>
      <c r="C68" s="167" cm="1">
        <f t="array" ref="C68">(SUMPRODUCT((E3_Consommateurs!$D$21:$XFD$21&lt;B1_Calculs!B68)*E3_Consommateurs!$D$18:$XFD$18)+SUMPRODUCT((E3_Consommateurs!$D$21:$XFD$21=B1_Calculs!B68)*E3_Consommateurs!$D$18:$XFD$18*E3_Consommateurs!$D$20:$XFD$20))/(100-Eing_Netzverluste)*100*(1-Eing_AbnW/100)^(B1_Calculs!B68-Eing_Beginnjahr)</f>
        <v>2054.1118503548728</v>
      </c>
      <c r="D68" s="92">
        <f t="shared" si="21"/>
        <v>100.42444551849412</v>
      </c>
      <c r="E68" s="91" cm="1">
        <f t="array" ref="E68">IF(AS68=0,0,
(Eing_Kosten_Bau*(MOD((AS68),Eing_Nutzungsdauer_Bau)=0)
+Eing_Invest_HolzAnlage*(MOD((AS68),Eing_Nutzungsdauer_Holz)=0)
+Eing_Invest_WKKAnlage*(MOD((AS68),Eing_Nutzungsdauer_WKK)=0)
+Eing_Invest_WPAnlage*(MOD((AS68),Eing_Nutzungsdauer_WP)=0)
+Eing_Invest_SondenGrundwasser*(MOD((AS68),Eing_Nutzungsdauer_SondenGW)=0)
+Eing_Invest_Zusatz*(MOD((AS68),Eing_Nutzungsdauer_Zusatz)=0)
+Eing_Invest_AWN*(MOD((AS68),Eing_Nutzungsdauer_AWN)=0)
+Eing_Invest_Spitzenlast*(MOD((AS68),Eing_Nutzungsdauer_Spitzenlast)=0)
+Eing_Invest_Installationen*(MOD((AS68),Eing_Nutzungsdauer_Installationen)=0)
+Eing_Invest_Wärmenetz*(MOD((AS68),Eing_Nutzungsdauer_Netz)=0)
+Eing_Invest_Messung*(MOD((AS68),Eing_Nutzungsdauer_Messung)=0))*(1+Eing_allg_Teuerung/100)^(AS68))
+Gesamtinvestition*SUMPRODUCT(('E1_Données de projet'!$D$83:$D$87=B68)*'E1_Données de projet'!$F$83:$F$87)/100</f>
        <v>0</v>
      </c>
      <c r="F68" s="168">
        <f t="shared" si="3"/>
        <v>0</v>
      </c>
      <c r="G68" s="168" cm="1">
        <f t="array" ref="G68">-SUMPRODUCT((E3_Consommateurs!$D$21:$XFD$21=B1_Calculs!B68)*E3_Consommateurs!$D$23:$XFD$23)</f>
        <v>0</v>
      </c>
      <c r="H68" s="91">
        <f t="shared" si="22"/>
        <v>0</v>
      </c>
      <c r="I68" s="168">
        <f t="shared" si="36"/>
        <v>0</v>
      </c>
      <c r="J68" s="169">
        <f t="shared" si="23"/>
        <v>0</v>
      </c>
      <c r="K68" s="169">
        <f t="shared" si="37"/>
        <v>-1131459.3921107433</v>
      </c>
      <c r="L68" s="91">
        <f t="shared" si="24"/>
        <v>1453468.2873387365</v>
      </c>
      <c r="M68" s="230">
        <f>IF(ISNUMBER(IRR((BD$44:BD67,BC68))),IRR((BD$44:BD67,BC68)),"-")</f>
        <v>-9.4497499305234989E-5</v>
      </c>
      <c r="N68" s="93">
        <f>SUM((SUMPRODUCT((E3_Consommateurs!$D$21:$XFD$21&lt;B1_Calculs!B68)*E3_Consommateurs!$D$26:$XFD$26)+SUMPRODUCT((E3_Consommateurs!$D$21:$XFD$21=B1_Calculs!B68)*E3_Consommateurs!$D$26:$XFD$26*E3_Consommateurs!$D$20:$XFD$20))*(1+$G$30)^(B68-B$44),(SUMPRODUCT((E3_Consommateurs!$D$21:$XFD$21&lt;B1_Calculs!B68)*E3_Consommateurs!$D$27:$XFD$27)+SUMPRODUCT((E3_Consommateurs!$D$21:$XFD$21=B1_Calculs!B68)*E3_Consommateurs!$D$27:$XFD$27*E3_Consommateurs!$D$20:$XFD$20))*((1+$G$30)*(1-'E1_Données de projet'!$D$20/100))^(B68-B$44))</f>
        <v>428802.17263362079</v>
      </c>
      <c r="O68" s="169">
        <f t="shared" si="4"/>
        <v>0</v>
      </c>
      <c r="P68" s="169">
        <f t="shared" si="5"/>
        <v>0</v>
      </c>
      <c r="Q68" s="168">
        <f t="shared" si="6"/>
        <v>0</v>
      </c>
      <c r="R68" s="94"/>
      <c r="S68" s="97"/>
      <c r="T68" s="96">
        <f t="shared" si="7"/>
        <v>428802.17263362079</v>
      </c>
      <c r="U68" s="93">
        <f t="shared" si="8"/>
        <v>104718.30608247679</v>
      </c>
      <c r="V68" s="169">
        <f t="shared" si="9"/>
        <v>0</v>
      </c>
      <c r="W68" s="169">
        <f t="shared" si="10"/>
        <v>0</v>
      </c>
      <c r="X68" s="169">
        <f t="shared" si="11"/>
        <v>0</v>
      </c>
      <c r="Y68" s="91">
        <f t="shared" si="12"/>
        <v>0</v>
      </c>
      <c r="Z68" s="169">
        <f t="shared" si="13"/>
        <v>34318.11826783666</v>
      </c>
      <c r="AA68" s="91">
        <f t="shared" si="14"/>
        <v>13040.884941777933</v>
      </c>
      <c r="AB68" s="91">
        <f>($F$22*(1+$G$22)^(B68-B$44)+$F$23*(1+$G$23)^(B68-B$44))*(B68&gt;=Eing_JahrBegWLief)*VLOOKUP(B68,'E1_Données de projet'!$D$83:$I$87,6)/100</f>
        <v>40250.588358461704</v>
      </c>
      <c r="AC68" s="91">
        <f>$F$24*(1+$G$24)^(B68-B$44)*(B68&gt;=Eing_JahrBegWLief)*VLOOKUP(B68,'E1_Données de projet'!$D$83:$I$87,6)/100</f>
        <v>57392.006113642557</v>
      </c>
      <c r="AD68" s="91">
        <f t="shared" si="15"/>
        <v>43932.818839204265</v>
      </c>
      <c r="AE68" s="94"/>
      <c r="AF68" s="95"/>
      <c r="AG68" s="91">
        <f t="shared" si="16"/>
        <v>7500.0000000000055</v>
      </c>
      <c r="AH68" s="96">
        <f t="shared" si="25"/>
        <v>301152.72260339989</v>
      </c>
      <c r="AI68" s="93">
        <f t="shared" si="26"/>
        <v>0</v>
      </c>
      <c r="AJ68" s="169">
        <f t="shared" si="27"/>
        <v>301152.72260339989</v>
      </c>
      <c r="AK68" s="91">
        <f t="shared" si="28"/>
        <v>127649.45003022091</v>
      </c>
      <c r="AL68" s="170">
        <f t="shared" si="29"/>
        <v>1453468.2873387365</v>
      </c>
      <c r="AM68" s="91">
        <f>('E1_Données de projet'!$D$68*(1+Eing_allg_Teuerung/100)^('E1_Données de projet'!$I$68*ROUNDDOWN((AS68-1)/'E1_Données de projet'!$I$68,0))/'E1_Données de projet'!$I$68
+'E1_Données de projet'!$D$69*(1+Eing_allg_Teuerung/100)^('E1_Données de projet'!$I$69*ROUNDDOWN((AS68-1)/'E1_Données de projet'!$I$69,0))/'E1_Données de projet'!$I$69
+'E1_Données de projet'!$D$70*(1+Eing_allg_Teuerung/100)^('E1_Données de projet'!$I$70*ROUNDDOWN((AS68-1)/'E1_Données de projet'!$I$69,0))/'E1_Données de projet'!$I$70
+'E1_Données de projet'!$D$71*(1+Eing_allg_Teuerung/100)^('E1_Données de projet'!$I$71*ROUNDDOWN((AS68-1)/'E1_Données de projet'!$I$69,0))/'E1_Données de projet'!$I$71
+'E1_Données de projet'!$D$72*(1+Eing_allg_Teuerung/100)^('E1_Données de projet'!$I$72*ROUNDDOWN((AS68-1)/'E1_Données de projet'!$I$69,0))/'E1_Données de projet'!$I$72
+'E1_Données de projet'!$D$74*(1+Eing_allg_Teuerung/100)^('E1_Données de projet'!$I$74*ROUNDDOWN((AS68-1)/'E1_Données de projet'!$I$69,0))/'E1_Données de projet'!$I$74
+'E1_Données de projet'!$D$75*(1+Eing_allg_Teuerung/100)^('E1_Données de projet'!$I$75*ROUNDDOWN((AS68-1)/'E1_Données de projet'!$I$75,0))/'E1_Données de projet'!$I$75
+'E1_Données de projet'!$D$76*(1+Eing_allg_Teuerung/100)^('E1_Données de projet'!$I$76*ROUNDDOWN((AS68-1)/'E1_Données de projet'!$I$76,0))/'E1_Données de projet'!$I$76
+'E1_Données de projet'!$D$77*(1+Eing_allg_Teuerung/100)^('E1_Données de projet'!$I$77*ROUNDDOWN((AS68-1)/'E1_Données de projet'!$I$77,0))/'E1_Données de projet'!$I$77
+'E1_Données de projet'!$D$78*(1+Eing_allg_Teuerung/100)^('E1_Données de projet'!$I$78*ROUNDDOWN((AS68-1)/'E1_Données de projet'!$I$78,0))/'E1_Données de projet'!$I$78
+'E1_Données de projet'!$D$80*(1+Eing_allg_Teuerung/100)^('E1_Données de projet'!$I$80*ROUNDDOWN((AS68-1)/'E1_Données de projet'!$I$69,0))/'E1_Données de projet'!$I$80
)*((AS68)&gt;0)*VLOOKUP(B68,'E1_Données de projet'!$D$83:$I$87,6
)/100</f>
        <v>118440.62969333494</v>
      </c>
      <c r="AN68" s="227">
        <f t="shared" si="30"/>
        <v>419593.35229673481</v>
      </c>
      <c r="AO68" s="227">
        <f t="shared" si="31"/>
        <v>9208.8203368859831</v>
      </c>
      <c r="AP68" s="230">
        <f t="shared" si="38"/>
        <v>6118.7342120151734</v>
      </c>
      <c r="AQ68" s="163" cm="1">
        <f t="array" ref="AQ68">IF(AS68-1&lt;=0,0,
(Eing_Kosten_Bau*(MOD((AS68-1),Eing_Nutzungsdauer_Bau)=0)
+Eing_Invest_HolzAnlage*(MOD((AS68-1),Eing_Nutzungsdauer_Holz)=0)
+Eing_Invest_WKKAnlage*(MOD((AS68-1),Eing_Nutzungsdauer_WKK)=0)
+Eing_Invest_WPAnlage*(MOD((AS68-1),Eing_Nutzungsdauer_WP)=0)
+Eing_Invest_SondenGrundwasser*(MOD((AS68-1),Eing_Nutzungsdauer_SondenGW)=0)
+Eing_Invest_AWN*(MOD((AS68-1),Eing_Nutzungsdauer_AWN)=0)
+Eing_Invest_Spitzenlast*(MOD((AS68-1),Eing_Nutzungsdauer_Spitzenlast)=0)
+Eing_Invest_Installationen*(MOD((AS68-1),Eing_Nutzungsdauer_Installationen)=0)
+Eing_Invest_Wärmenetz*(MOD((AS68-1),Eing_Nutzungsdauer_Netz)=0)
+Eing_Invest_Messung*(MOD((AS68-1),Eing_Nutzungsdauer_Messung)=0))*(1+Eing_allg_Teuerung/100)^(AS68-1))
+(Gesamtinvestition-SUM('E1_Données de projet'!$D$79:$D$80))*SUMPRODUCT(('E1_Données de projet'!$D$83:$D$87=B68)*'E1_Données de projet'!$F$83:$F$87)/100-AM68
+AQ67</f>
        <v>1525109.8389840224</v>
      </c>
      <c r="AR68" s="165">
        <f t="shared" si="32"/>
        <v>-500000.00000000017</v>
      </c>
      <c r="AS68" s="166">
        <f>MAX(B1_Calculs!B68-'E1_Données de projet'!$D$23,0)</f>
        <v>23</v>
      </c>
      <c r="AT68" s="34">
        <f>AT67-B1_Calculs!I68</f>
        <v>0</v>
      </c>
      <c r="AU68" s="34">
        <f t="shared" si="33"/>
        <v>0</v>
      </c>
      <c r="AV68" s="34">
        <f>IF((SUM(H$44:H68)-SUM(I$44:I68))&lt;=AU68,MAX((SUM(H$44:H68)-SUM(I$44:I68)),0),AU68)</f>
        <v>0</v>
      </c>
      <c r="AW68" s="34">
        <f t="shared" si="17"/>
        <v>0</v>
      </c>
      <c r="AX68" s="34">
        <f t="shared" si="39"/>
        <v>1.8917489796876907E-10</v>
      </c>
      <c r="AY68" s="34">
        <f t="shared" si="34"/>
        <v>0</v>
      </c>
      <c r="AZ68" s="34">
        <f>IF((SUM(H$44:H68)-SUM(I$44:I68)-AV68)&lt;=AY68,MAX((SUM(H$44:H68)-SUM(I$44:I68)-AV68),0),AY68)</f>
        <v>0</v>
      </c>
      <c r="BA68" s="34">
        <f t="shared" si="18"/>
        <v>0</v>
      </c>
      <c r="BB68" s="34">
        <f t="shared" si="40"/>
        <v>500000</v>
      </c>
      <c r="BC68" s="89">
        <f t="shared" si="19"/>
        <v>1652759.2890142433</v>
      </c>
      <c r="BD68" s="89">
        <f t="shared" si="20"/>
        <v>127649.45003022091</v>
      </c>
    </row>
  </sheetData>
  <sheetProtection algorithmName="SHA-512" hashValue="t5LyWPd4OeX9hruLOBglsBIkSXWYpq4zF3ZIwGHmnFQAhF2Lhr0uDRJfa5NdIZX+MuxP2XfsiiRPNlWRnr93iw==" saltValue="gmWRQyU6gsPCBfGcSZSNcg==" spinCount="100000" sheet="1" objects="1" scenarios="1"/>
  <mergeCells count="21">
    <mergeCell ref="C33:E33"/>
    <mergeCell ref="C34:E34"/>
    <mergeCell ref="C22:E22"/>
    <mergeCell ref="C23:E23"/>
    <mergeCell ref="C24:E24"/>
    <mergeCell ref="C25:E25"/>
    <mergeCell ref="C26:E26"/>
    <mergeCell ref="D10:I10"/>
    <mergeCell ref="D12:I12"/>
    <mergeCell ref="C16:E16"/>
    <mergeCell ref="C20:E20"/>
    <mergeCell ref="C21:E21"/>
    <mergeCell ref="B15:E15"/>
    <mergeCell ref="C18:E18"/>
    <mergeCell ref="C19:E19"/>
    <mergeCell ref="C17:E17"/>
    <mergeCell ref="D7:I7"/>
    <mergeCell ref="D6:I6"/>
    <mergeCell ref="D8:I8"/>
    <mergeCell ref="D3:I3"/>
    <mergeCell ref="D4:I4"/>
  </mergeCells>
  <phoneticPr fontId="8" type="noConversion"/>
  <conditionalFormatting sqref="K44:K68">
    <cfRule type="expression" dxfId="4" priority="1">
      <formula>($K44+$L44)&lt;0</formula>
    </cfRule>
  </conditionalFormatting>
  <conditionalFormatting sqref="L44:L68">
    <cfRule type="cellIs" dxfId="3" priority="4" operator="lessThan">
      <formula>0</formula>
    </cfRule>
  </conditionalFormatting>
  <conditionalFormatting sqref="AR44:AR68">
    <cfRule type="expression" dxfId="2" priority="9">
      <formula>-AR44&gt;AQ44</formula>
    </cfRule>
  </conditionalFormatting>
  <hyperlinks>
    <hyperlink ref="A1" location="I1_500" display="I1_500" xr:uid="{00000000-0004-0000-0400-000000000000}"/>
    <hyperlink ref="A3" location="I1_101a" display="101a" xr:uid="{00000000-0004-0000-0400-000001000000}"/>
    <hyperlink ref="A4" location="I1_101b" display="101b" xr:uid="{00000000-0004-0000-0400-000002000000}"/>
    <hyperlink ref="A6" location="I1_206" display="I1_206" xr:uid="{00000000-0004-0000-0400-000003000000}"/>
    <hyperlink ref="A10" location="I1_207" display="I1_207" xr:uid="{00000000-0004-0000-0400-000004000000}"/>
    <hyperlink ref="A12" location="I1_501" display="I1_501" xr:uid="{00000000-0004-0000-0400-000005000000}"/>
    <hyperlink ref="A14" location="I1_510" display="I1_510" xr:uid="{00000000-0004-0000-0400-000006000000}"/>
    <hyperlink ref="G13" location="I1_511" display="I1_511" xr:uid="{00000000-0004-0000-0400-000007000000}"/>
    <hyperlink ref="A15" location="I1_510a" display="a" xr:uid="{00000000-0004-0000-0400-000008000000}"/>
    <hyperlink ref="A16" location="I1_510b" display="b" xr:uid="{00000000-0004-0000-0400-000009000000}"/>
    <hyperlink ref="A26" location="I1_510l" display="l" xr:uid="{00000000-0004-0000-0400-000010000000}"/>
    <hyperlink ref="A30" location="I1_510w" display="w" xr:uid="{00000000-0004-0000-0400-000011000000}"/>
    <hyperlink ref="A33" location="I1_145" display="I1_145" xr:uid="{00000000-0004-0000-0400-000013000000}"/>
    <hyperlink ref="A34" location="I1_165" display="I1_165" xr:uid="{00000000-0004-0000-0400-000014000000}"/>
    <hyperlink ref="A39" location="I1_530" display="I1_530" xr:uid="{00000000-0004-0000-0400-000016000000}"/>
    <hyperlink ref="B42" location="I1_531" display="I1_531" xr:uid="{00000000-0004-0000-0400-000017000000}"/>
    <hyperlink ref="C42" location="I1_532" display="I1_532" xr:uid="{00000000-0004-0000-0400-000018000000}"/>
    <hyperlink ref="D42" location="I1_533" display="I1_533" xr:uid="{00000000-0004-0000-0400-000019000000}"/>
    <hyperlink ref="U42" location="I1_571a" display="571a" xr:uid="{00000000-0004-0000-0400-00001A000000}"/>
    <hyperlink ref="Y42" location="I1_571e" display="571e" xr:uid="{00000000-0004-0000-0400-00001B000000}"/>
    <hyperlink ref="AA42" location="I1_572b" display="572b" xr:uid="{00000000-0004-0000-0400-00001C000000}"/>
    <hyperlink ref="AB42" location="I1_574a" display="574a" xr:uid="{00000000-0004-0000-0400-00001D000000}"/>
    <hyperlink ref="AC42" location="I1_574b" display="574b" xr:uid="{00000000-0004-0000-0400-00001E000000}"/>
    <hyperlink ref="AD42" location="I1_575" display="I1_575" xr:uid="{00000000-0004-0000-0400-00001F000000}"/>
    <hyperlink ref="E42" location="I1_541" display="I1_541" xr:uid="{00000000-0004-0000-0400-000020000000}"/>
    <hyperlink ref="AE42" location="I1_576" display="I1_576" xr:uid="{00000000-0004-0000-0400-000021000000}"/>
    <hyperlink ref="AF42" location="I1_577" display="I1_577" xr:uid="{00000000-0004-0000-0400-000022000000}"/>
    <hyperlink ref="AG42" location="I1_578" display="I1_578" xr:uid="{00000000-0004-0000-0400-000023000000}"/>
    <hyperlink ref="AH42" location="I1_579" display="I1_579" xr:uid="{00000000-0004-0000-0400-000024000000}"/>
    <hyperlink ref="N42" location="I1_561" display="I1_561" xr:uid="{00000000-0004-0000-0400-000025000000}"/>
    <hyperlink ref="G42" location="I1_543" display="I1_543" xr:uid="{00000000-0004-0000-0400-000026000000}"/>
    <hyperlink ref="F42" location="I1_542" display="I1_542" xr:uid="{00000000-0004-0000-0400-000027000000}"/>
    <hyperlink ref="R42" location="I1_566" display="I1_566" xr:uid="{00000000-0004-0000-0400-000028000000}"/>
    <hyperlink ref="S42" location="I1_567" display="I1_567" xr:uid="{00000000-0004-0000-0400-000029000000}"/>
    <hyperlink ref="T42" location="I1_569" display="I1_569" xr:uid="{00000000-0004-0000-0400-00002A000000}"/>
    <hyperlink ref="AK42" location="I1_581" display="I1_581" xr:uid="{00000000-0004-0000-0400-00002B000000}"/>
    <hyperlink ref="AL42" location="I1_582" display="I1_582" xr:uid="{00000000-0004-0000-0400-00002C000000}"/>
    <hyperlink ref="AR42" location="I1_592" display="I1_592" xr:uid="{00000000-0004-0000-0400-00002D000000}"/>
    <hyperlink ref="AQ42" location="I1_591" display="I1_591" xr:uid="{00000000-0004-0000-0400-00002E000000}"/>
    <hyperlink ref="J6" location="I1_505" display="I1_505" xr:uid="{00000000-0004-0000-0400-000031000000}"/>
    <hyperlink ref="AM42" location="I1_585" display="I1_585" xr:uid="{00000000-0004-0000-0400-000032000000}"/>
    <hyperlink ref="J42" location="I1_552" display="I1_552" xr:uid="{00000000-0004-0000-0400-000033000000}"/>
    <hyperlink ref="Q42" location="I1_564" display="I1_564" xr:uid="{13F726B8-5BB3-41A4-8E54-726529928099}"/>
    <hyperlink ref="K42" location="I1_555" display="I1_555" xr:uid="{F28F99E5-3990-4921-96E9-2E6392EE6F8A}"/>
    <hyperlink ref="A35" location="I1_543" display="I1_543" xr:uid="{B12BE626-3DAF-4FC4-9367-4867C31F205B}"/>
    <hyperlink ref="A36" location="I1_155" display="I1_155" xr:uid="{AC2ED43B-CDDC-4C8C-8AE7-BEDC0244DFF0}"/>
    <hyperlink ref="A37" location="I1_160" display="I1_160" xr:uid="{A7FC9D39-BADB-440A-A9CD-513020D28E69}"/>
    <hyperlink ref="H42" location="I1_544" display="I1_544" xr:uid="{F0FFE865-C6D4-4688-938C-AE9C60996A5E}"/>
    <hyperlink ref="I42" location="I1_551" display="I1_551" xr:uid="{A7FD14A1-F5B7-4487-8EAF-CEAACDEE2464}"/>
    <hyperlink ref="L42" location="I1_582" display="I1_582" xr:uid="{D8CB74E7-F29F-45D4-B5C8-F8F8A3DB08F7}"/>
    <hyperlink ref="O42" location="I1_562" display="I1_562" xr:uid="{43043825-69A0-415A-BBE0-D64EAB1D17CB}"/>
    <hyperlink ref="P42" location="I1_563" display="I1_563" xr:uid="{2A53AFB0-9080-4B51-AA4B-20596806F87D}"/>
    <hyperlink ref="V42" location="I1_571b" display="571b" xr:uid="{FD6B705F-3117-4C7C-975A-8A7384FF27D4}"/>
    <hyperlink ref="W42" location="I1_571c" display="571c" xr:uid="{603773EC-32E6-4505-ABC2-439253959651}"/>
    <hyperlink ref="X42" location="I1_571d" display="571d" xr:uid="{D1C46B5C-31E6-431B-896F-B0C9EABC83EE}"/>
    <hyperlink ref="Z42" location="I1_572a" display="572a" xr:uid="{4B0C53BE-3DB2-49EE-B0A5-E8C9CB9EEC61}"/>
    <hyperlink ref="AP42" location="I1_589" display="I1_589" xr:uid="{C5211D46-810D-4E91-83C0-4114AD7B9FE4}"/>
    <hyperlink ref="AO42" location="I1_588" display="I1_588" xr:uid="{E9912DC0-ABC1-4AFA-BE0C-FAD7FB7F10C1}"/>
    <hyperlink ref="AS42" location="I1_599" display="I1_599" xr:uid="{C3948653-3318-4107-9639-5E9050F760E9}"/>
    <hyperlink ref="A28" location="I1_510q" display="q" xr:uid="{7D2CD14E-9EE0-4F85-AFB5-0AB7D0CE5F77}"/>
    <hyperlink ref="A29" location="I1_510r" display="r" xr:uid="{85DEE684-E828-4960-84D7-D74F215BE370}"/>
    <hyperlink ref="M42" location="I1_559" display="I1_559" xr:uid="{5A1A46C3-2B54-4572-B32A-29C0FF6C7EA7}"/>
    <hyperlink ref="AI42" location="I1_580" display="I1_580" xr:uid="{17EC4828-51B9-4028-9524-FFE3E8067409}"/>
    <hyperlink ref="AH6" location="I1_591" display="I1_591" xr:uid="{95AF7E95-248D-40B9-A1A3-2B13F20B060A}"/>
    <hyperlink ref="A19" location="I1_510e" display="e" xr:uid="{E80872A2-7E33-42F6-A120-300D428EBD7D}"/>
    <hyperlink ref="A20" location="I1_510f" display="f" xr:uid="{911CD5CE-28C3-4EA6-ACA0-0A73A3EB20EE}"/>
    <hyperlink ref="A21" location="I1_510g" display="g" xr:uid="{6D8955B6-6B88-4889-8E55-DB18A7FC4915}"/>
    <hyperlink ref="A22" location="I1_510h" display="h" xr:uid="{9F431C55-971E-4360-B6EE-67AFB6AEE230}"/>
    <hyperlink ref="A23" location="I1_510i" display="i" xr:uid="{E4F79CBE-400F-4745-82A6-2434D4043511}"/>
    <hyperlink ref="A24" location="I1_510j" display="j" xr:uid="{0F99DCF1-FB19-457A-B3FC-CFC975FE2F4C}"/>
    <hyperlink ref="A25" location="I1_510k" display="k" xr:uid="{E5F7D3E5-AFE8-4F34-97D7-529198C2E003}"/>
    <hyperlink ref="A17" location="I1_510c" display="c" xr:uid="{95C7D6A9-597A-455B-8C3B-E14250340032}"/>
    <hyperlink ref="A18" location="I1_510d" display="d" xr:uid="{30A53406-3726-44E5-B85E-969F91A7DDF1}"/>
  </hyperlinks>
  <pageMargins left="0.78740157480314965" right="0.6692913385826772" top="1.1417322834645669" bottom="1.3385826771653544" header="0.51181102362204722" footer="0.51181102362204722"/>
  <pageSetup paperSize="8" scale="38" fitToHeight="0" orientation="landscape" r:id="rId1"/>
  <headerFooter alignWithMargins="0">
    <oddHeader>&amp;L&amp;G&amp;R&amp;G</oddHeader>
    <oddFooter>&amp;L&amp;"Arial,Standard"&amp;10&amp;F&amp;C&amp;"Arial,Standard"&amp;10&amp;P / &amp;N &amp;R&amp;"Arial,Standard"&amp;10&amp;D</oddFooter>
  </headerFooter>
  <ignoredErrors>
    <ignoredError sqref="G20:G26" unlockedFormula="1"/>
  </ignoredErrors>
  <drawing r:id="rId2"/>
  <legacy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5" id="{0E4FD182-3BAF-45CA-9112-408DC0174442}">
            <xm:f>SUM($I$44:$I$68)&lt;='E1_Données de projet'!$D$89</xm:f>
            <x14:dxf>
              <font>
                <color auto="1"/>
              </font>
              <fill>
                <patternFill>
                  <bgColor rgb="FF92D050"/>
                </patternFill>
              </fill>
            </x14:dxf>
          </x14:cfRule>
          <xm:sqref>I41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0"/>
  <sheetViews>
    <sheetView workbookViewId="0">
      <selection activeCell="E34" sqref="E34"/>
    </sheetView>
  </sheetViews>
  <sheetFormatPr baseColWidth="10" defaultColWidth="0" defaultRowHeight="12.75" zeroHeight="1" x14ac:dyDescent="0.2"/>
  <cols>
    <col min="1" max="1" width="5.28515625" style="31" customWidth="1"/>
    <col min="2" max="2" width="15.7109375" style="1" customWidth="1"/>
    <col min="3" max="3" width="34.7109375" style="2" customWidth="1"/>
    <col min="4" max="5" width="10.7109375" style="2" customWidth="1"/>
    <col min="6" max="6" width="12.7109375" style="11" customWidth="1"/>
    <col min="7" max="7" width="1.7109375" style="11" customWidth="1"/>
    <col min="8" max="8" width="20.7109375" style="1" customWidth="1"/>
    <col min="9" max="9" width="22.7109375" style="2" customWidth="1"/>
    <col min="10" max="11" width="10.7109375" style="2" customWidth="1"/>
    <col min="12" max="12" width="12.7109375" style="11" customWidth="1"/>
    <col min="13" max="13" width="8.7109375" style="11" customWidth="1"/>
    <col min="14" max="14" width="3.85546875" style="1" customWidth="1"/>
    <col min="15" max="15" width="11.28515625" style="11" hidden="1" customWidth="1"/>
    <col min="16" max="16384" width="10.85546875" style="11" hidden="1"/>
  </cols>
  <sheetData>
    <row r="1" spans="1:17" ht="18" x14ac:dyDescent="0.25">
      <c r="A1" s="178">
        <v>600</v>
      </c>
      <c r="B1" s="148" t="s">
        <v>425</v>
      </c>
      <c r="F1" s="300"/>
      <c r="G1" s="300"/>
      <c r="H1" s="148" t="s">
        <v>425</v>
      </c>
      <c r="L1" s="300"/>
      <c r="M1" s="300"/>
      <c r="N1" s="5"/>
      <c r="O1" s="300"/>
      <c r="P1" s="300"/>
      <c r="Q1" s="300"/>
    </row>
    <row r="2" spans="1:17" ht="12.95" customHeight="1" x14ac:dyDescent="0.2">
      <c r="B2" s="5"/>
      <c r="F2" s="300"/>
      <c r="G2" s="300"/>
      <c r="H2" s="5"/>
      <c r="I2" s="25"/>
      <c r="J2" s="26"/>
      <c r="K2" s="26"/>
      <c r="L2" s="27"/>
      <c r="M2" s="300"/>
      <c r="N2" s="300"/>
      <c r="O2" s="300"/>
      <c r="P2" s="300"/>
      <c r="Q2" s="300"/>
    </row>
    <row r="3" spans="1:17" ht="12.95" customHeight="1" x14ac:dyDescent="0.2">
      <c r="A3" s="178" t="s">
        <v>2</v>
      </c>
      <c r="C3" s="28" t="s">
        <v>175</v>
      </c>
      <c r="F3" s="300"/>
      <c r="G3" s="300"/>
      <c r="H3" s="5" t="s">
        <v>594</v>
      </c>
      <c r="I3" s="29"/>
      <c r="J3" s="26">
        <f>D34</f>
        <v>2025</v>
      </c>
      <c r="K3" s="26">
        <f>E34</f>
        <v>2030</v>
      </c>
      <c r="L3" s="27" t="str">
        <f>"jusqu'à "&amp;B1_Calculs!B68</f>
        <v>jusqu'à 2048</v>
      </c>
      <c r="M3" s="300"/>
      <c r="N3" s="206">
        <v>650</v>
      </c>
      <c r="O3" s="300"/>
      <c r="P3" s="300"/>
      <c r="Q3" s="300"/>
    </row>
    <row r="4" spans="1:17" ht="12.95" customHeight="1" x14ac:dyDescent="0.2">
      <c r="A4" s="178" t="s">
        <v>9</v>
      </c>
      <c r="B4" s="1" t="s">
        <v>179</v>
      </c>
      <c r="F4" s="300"/>
      <c r="G4" s="1"/>
      <c r="H4" s="5"/>
      <c r="I4" s="29" t="s">
        <v>581</v>
      </c>
      <c r="J4" s="30">
        <f>_xlfn.XLOOKUP(J$3,B1_Calculs!$B$44:$B$68,B1_Calculs!$D$44:$D$68)/100</f>
        <v>0.2097358384841167</v>
      </c>
      <c r="K4" s="30">
        <f>_xlfn.XLOOKUP(K$3,B1_Calculs!$B$44:$B$68,B1_Calculs!$D$44:$D$68)/100</f>
        <v>1.1369031643832224</v>
      </c>
      <c r="L4" s="27"/>
      <c r="M4" s="300"/>
      <c r="N4" s="206">
        <v>533</v>
      </c>
      <c r="O4" s="1"/>
      <c r="P4" s="1"/>
      <c r="Q4" s="1"/>
    </row>
    <row r="5" spans="1:17" s="1" customFormat="1" ht="12.95" customHeight="1" x14ac:dyDescent="0.2">
      <c r="A5" s="31"/>
      <c r="B5" s="5"/>
      <c r="C5" s="2"/>
      <c r="D5" s="2"/>
      <c r="E5" s="2"/>
      <c r="I5" s="31" t="s">
        <v>426</v>
      </c>
      <c r="J5" s="6">
        <f>_xlfn.XLOOKUP(J$3,B1_Calculs!$B$44:$B$68,B1_Calculs!$C$44:$C$68)*(100-Eing_Netzverluste)/100</f>
        <v>386.1</v>
      </c>
      <c r="K5" s="6">
        <f>_xlfn.XLOOKUP(K$3,B1_Calculs!$B$44:$B$68,B1_Calculs!$C$44:$C$68)*(100-Eing_Netzverluste)/100</f>
        <v>2092.9103721184224</v>
      </c>
      <c r="L5" s="322">
        <f>SUM(B1_Calculs!C44:C68)*((100-Eing_Netzverluste))/100</f>
        <v>46022.177562805911</v>
      </c>
      <c r="M5" s="300" t="s">
        <v>194</v>
      </c>
      <c r="N5" s="206">
        <v>532</v>
      </c>
      <c r="O5" s="4"/>
    </row>
    <row r="6" spans="1:17" s="1" customFormat="1" ht="12.95" customHeight="1" x14ac:dyDescent="0.2">
      <c r="A6" s="178">
        <v>106</v>
      </c>
      <c r="B6" s="5" t="s">
        <v>180</v>
      </c>
      <c r="C6" s="5" t="str">
        <f>IF('E1_Données de projet'!C8=0,"",'E1_Données de projet'!C8)</f>
        <v>QMH projet example 2</v>
      </c>
      <c r="D6" s="5"/>
      <c r="E6" s="5"/>
      <c r="F6" s="3"/>
      <c r="L6" s="300"/>
      <c r="M6" s="300"/>
      <c r="O6" s="4"/>
    </row>
    <row r="7" spans="1:17" s="1" customFormat="1" ht="12.95" customHeight="1" x14ac:dyDescent="0.2">
      <c r="A7" s="31"/>
      <c r="B7" s="5"/>
      <c r="C7" s="5" t="str">
        <f>IF('E1_Données de projet'!C9=0,"",'E1_Données de projet'!C9)</f>
        <v>Modèle de rentabilité</v>
      </c>
      <c r="D7" s="5"/>
      <c r="E7" s="5"/>
      <c r="F7" s="3"/>
      <c r="H7" s="5" t="s">
        <v>580</v>
      </c>
      <c r="J7" s="335"/>
      <c r="K7" s="336"/>
      <c r="L7" s="337"/>
      <c r="M7" s="337"/>
      <c r="N7" s="206">
        <v>655</v>
      </c>
      <c r="O7" s="4"/>
    </row>
    <row r="8" spans="1:17" s="1" customFormat="1" ht="12.95" customHeight="1" x14ac:dyDescent="0.2">
      <c r="A8" s="31"/>
      <c r="B8" s="5"/>
      <c r="C8" s="5" t="str">
        <f>IF('E1_Données de projet'!C10=0,"",'E1_Données de projet'!C10)</f>
        <v>CP / lieu</v>
      </c>
      <c r="D8" s="5"/>
      <c r="E8" s="5"/>
      <c r="F8" s="3"/>
      <c r="I8" s="31"/>
      <c r="J8" s="34"/>
      <c r="K8" s="34"/>
      <c r="L8" s="35"/>
      <c r="M8" s="35"/>
      <c r="O8" s="4"/>
    </row>
    <row r="9" spans="1:17" s="1" customFormat="1" ht="12.95" customHeight="1" x14ac:dyDescent="0.2">
      <c r="A9" s="31"/>
      <c r="B9" s="5"/>
      <c r="C9" s="5"/>
      <c r="D9" s="5"/>
      <c r="E9" s="5"/>
      <c r="F9" s="3"/>
      <c r="L9" s="300"/>
      <c r="M9" s="300"/>
      <c r="O9" s="4"/>
    </row>
    <row r="10" spans="1:17" s="1" customFormat="1" ht="12.95" customHeight="1" x14ac:dyDescent="0.2">
      <c r="A10" s="178">
        <v>107</v>
      </c>
      <c r="B10" s="5" t="s">
        <v>181</v>
      </c>
      <c r="C10" s="5" t="str">
        <f>IF('E1_Données de projet'!C12=0,"",'E1_Données de projet'!C12)</f>
        <v>date, nome</v>
      </c>
      <c r="D10" s="5"/>
      <c r="E10" s="5"/>
      <c r="F10" s="3"/>
      <c r="L10" s="300"/>
      <c r="M10" s="300"/>
    </row>
    <row r="11" spans="1:17" s="1" customFormat="1" ht="12.95" customHeight="1" x14ac:dyDescent="0.2">
      <c r="A11" s="31"/>
      <c r="G11" s="5"/>
      <c r="L11" s="300"/>
      <c r="M11" s="300"/>
      <c r="O11" s="5"/>
      <c r="P11" s="5"/>
      <c r="Q11" s="8"/>
    </row>
    <row r="12" spans="1:17" s="5" customFormat="1" ht="12.95" customHeight="1" x14ac:dyDescent="0.2">
      <c r="A12" s="204">
        <v>501</v>
      </c>
      <c r="B12" s="36" t="s">
        <v>385</v>
      </c>
      <c r="C12" s="366" t="str">
        <f>IF('E1_Données de projet'!C14&lt;&gt;"",'E1_Données de projet'!Y15,"")</f>
        <v/>
      </c>
      <c r="D12" s="366"/>
      <c r="E12" s="366"/>
      <c r="F12" s="366"/>
      <c r="G12" s="366"/>
      <c r="H12" s="1"/>
      <c r="I12" s="1"/>
      <c r="J12" s="1"/>
      <c r="K12" s="1"/>
      <c r="L12" s="300"/>
      <c r="M12" s="300"/>
      <c r="N12" s="1"/>
      <c r="O12" s="300"/>
      <c r="P12" s="300"/>
      <c r="Q12" s="300"/>
    </row>
    <row r="13" spans="1:17" ht="6" customHeight="1" x14ac:dyDescent="0.2">
      <c r="A13" s="183"/>
      <c r="B13" s="5"/>
      <c r="C13" s="8"/>
      <c r="D13" s="5"/>
      <c r="E13" s="1"/>
      <c r="F13" s="300"/>
      <c r="G13" s="300"/>
      <c r="I13" s="1"/>
      <c r="J13" s="1"/>
      <c r="K13" s="1"/>
      <c r="L13" s="300"/>
      <c r="M13" s="300"/>
      <c r="O13" s="300"/>
      <c r="P13" s="300"/>
      <c r="Q13" s="300"/>
    </row>
    <row r="14" spans="1:17" ht="12.95" customHeight="1" x14ac:dyDescent="0.2">
      <c r="A14" s="178">
        <v>110</v>
      </c>
      <c r="B14" s="5" t="s">
        <v>192</v>
      </c>
      <c r="C14" s="1"/>
      <c r="D14" s="1"/>
      <c r="E14" s="1"/>
      <c r="F14" s="300"/>
      <c r="G14" s="300"/>
      <c r="I14" s="1"/>
      <c r="J14" s="1"/>
      <c r="K14" s="1"/>
      <c r="L14" s="300"/>
      <c r="M14" s="300"/>
      <c r="O14" s="300"/>
      <c r="P14" s="300"/>
      <c r="Q14" s="300"/>
    </row>
    <row r="15" spans="1:17" ht="12.95" customHeight="1" x14ac:dyDescent="0.2">
      <c r="A15" s="178" t="s">
        <v>122</v>
      </c>
      <c r="C15" s="31" t="s">
        <v>193</v>
      </c>
      <c r="D15" s="6">
        <f>max_verkaufteWM</f>
        <v>2353</v>
      </c>
      <c r="E15" s="1" t="s">
        <v>194</v>
      </c>
      <c r="F15" s="300"/>
      <c r="G15" s="300"/>
      <c r="I15" s="1"/>
      <c r="J15" s="1"/>
      <c r="K15" s="1"/>
      <c r="L15" s="300"/>
      <c r="M15" s="300"/>
      <c r="O15" s="300"/>
      <c r="P15" s="300"/>
      <c r="Q15" s="300"/>
    </row>
    <row r="16" spans="1:17" ht="12.95" customHeight="1" x14ac:dyDescent="0.2">
      <c r="A16" s="178" t="s">
        <v>123</v>
      </c>
      <c r="C16" s="31" t="s">
        <v>195</v>
      </c>
      <c r="D16" s="6">
        <f>Eing_Netzverluste</f>
        <v>10</v>
      </c>
      <c r="E16" s="1" t="s">
        <v>165</v>
      </c>
      <c r="F16" s="300"/>
      <c r="G16" s="300"/>
      <c r="I16" s="1"/>
      <c r="J16" s="1"/>
      <c r="K16" s="1"/>
      <c r="L16" s="300"/>
      <c r="M16" s="300"/>
      <c r="O16" s="300"/>
      <c r="P16" s="300"/>
      <c r="Q16" s="300"/>
    </row>
    <row r="17" spans="1:14" ht="12.95" customHeight="1" x14ac:dyDescent="0.2">
      <c r="C17" s="1"/>
      <c r="D17" s="1"/>
      <c r="E17" s="1"/>
      <c r="F17" s="300"/>
      <c r="G17" s="300"/>
      <c r="I17" s="1"/>
      <c r="J17" s="1"/>
      <c r="K17" s="1"/>
      <c r="L17" s="300"/>
      <c r="M17" s="300"/>
    </row>
    <row r="18" spans="1:14" ht="12.95" customHeight="1" x14ac:dyDescent="0.2">
      <c r="A18" s="178" t="s">
        <v>200</v>
      </c>
      <c r="C18" s="31" t="s">
        <v>201</v>
      </c>
      <c r="D18" s="34">
        <f>Eing_Beginnjahr</f>
        <v>2024</v>
      </c>
      <c r="E18" s="1"/>
      <c r="F18" s="300"/>
      <c r="G18" s="300"/>
      <c r="I18" s="1"/>
      <c r="J18" s="1"/>
      <c r="K18" s="1"/>
      <c r="L18" s="300"/>
      <c r="M18" s="300"/>
    </row>
    <row r="19" spans="1:14" ht="12.95" customHeight="1" x14ac:dyDescent="0.2">
      <c r="A19" s="178" t="s">
        <v>204</v>
      </c>
      <c r="C19" s="31" t="s">
        <v>205</v>
      </c>
      <c r="D19" s="34">
        <f>'E1_Données de projet'!D23</f>
        <v>2025</v>
      </c>
      <c r="E19" s="1"/>
      <c r="F19" s="300"/>
      <c r="G19" s="300"/>
      <c r="I19" s="1"/>
      <c r="J19" s="1"/>
      <c r="K19" s="1"/>
      <c r="L19" s="300"/>
      <c r="M19" s="300"/>
    </row>
    <row r="20" spans="1:14" ht="6" customHeight="1" x14ac:dyDescent="0.2">
      <c r="A20" s="174"/>
      <c r="C20" s="31"/>
      <c r="D20" s="34"/>
      <c r="E20" s="1"/>
      <c r="F20" s="37"/>
      <c r="G20" s="300"/>
      <c r="I20" s="1"/>
      <c r="J20" s="1"/>
      <c r="K20" s="1"/>
      <c r="L20" s="300"/>
      <c r="M20" s="300"/>
    </row>
    <row r="21" spans="1:14" ht="12.95" customHeight="1" x14ac:dyDescent="0.2">
      <c r="A21" s="178">
        <v>610</v>
      </c>
      <c r="B21" s="5" t="s">
        <v>252</v>
      </c>
      <c r="C21" s="31"/>
      <c r="D21" s="1"/>
      <c r="E21" s="1"/>
      <c r="F21" s="38"/>
      <c r="G21" s="27"/>
      <c r="I21" s="1"/>
      <c r="J21" s="26">
        <f>D34</f>
        <v>2025</v>
      </c>
      <c r="K21" s="26">
        <f>E34</f>
        <v>2030</v>
      </c>
      <c r="L21" s="39">
        <f>B1_Calculs!B68</f>
        <v>2048</v>
      </c>
      <c r="M21" s="300"/>
      <c r="N21" s="38"/>
    </row>
    <row r="22" spans="1:14" ht="12.95" customHeight="1" x14ac:dyDescent="0.2">
      <c r="A22" s="178" t="s">
        <v>52</v>
      </c>
      <c r="C22" s="29" t="s">
        <v>878</v>
      </c>
      <c r="D22" s="6">
        <f>Eing_Kosten_Bau</f>
        <v>350000</v>
      </c>
      <c r="E22" s="1" t="s">
        <v>163</v>
      </c>
      <c r="F22" s="322"/>
      <c r="G22" s="300"/>
      <c r="H22" s="5"/>
      <c r="I22" s="31"/>
      <c r="J22" s="224" t="s">
        <v>427</v>
      </c>
      <c r="K22" s="224" t="s">
        <v>427</v>
      </c>
      <c r="L22" s="224" t="s">
        <v>427</v>
      </c>
      <c r="M22" s="6"/>
      <c r="N22" s="224"/>
    </row>
    <row r="23" spans="1:14" ht="12.95" customHeight="1" x14ac:dyDescent="0.2">
      <c r="A23" s="178">
        <v>612</v>
      </c>
      <c r="C23" s="183" t="s">
        <v>879</v>
      </c>
      <c r="D23" s="6">
        <f>SUM('E1_Données de projet'!D69:D76)</f>
        <v>1110000</v>
      </c>
      <c r="E23" s="1" t="s">
        <v>163</v>
      </c>
      <c r="F23" s="322"/>
      <c r="G23" s="300"/>
      <c r="H23" s="5" t="s">
        <v>428</v>
      </c>
      <c r="I23" s="31" t="s">
        <v>411</v>
      </c>
      <c r="J23" s="6">
        <f>_xlfn.XLOOKUP(J$21,B1_Calculs!$B$44:$B$68,B1_Calculs!$AR$44:$AR$68)</f>
        <v>-1350000</v>
      </c>
      <c r="K23" s="6">
        <f>_xlfn.XLOOKUP(K$21,B1_Calculs!$B$44:$B$68,B1_Calculs!$AR$44:$AR$68)</f>
        <v>-1126315.7894736843</v>
      </c>
      <c r="L23" s="6">
        <f>_xlfn.XLOOKUP(L$21,B1_Calculs!$B$44:$B$68,B1_Calculs!$AR$44:$AR$68)</f>
        <v>-500000.00000000017</v>
      </c>
      <c r="M23" s="6"/>
      <c r="N23" s="206">
        <v>592</v>
      </c>
    </row>
    <row r="24" spans="1:14" ht="12.95" customHeight="1" x14ac:dyDescent="0.2">
      <c r="A24" s="178" t="s">
        <v>61</v>
      </c>
      <c r="C24" s="29" t="s">
        <v>259</v>
      </c>
      <c r="D24" s="6">
        <f>'E1_Données de projet'!D77</f>
        <v>900000</v>
      </c>
      <c r="E24" s="1" t="s">
        <v>163</v>
      </c>
      <c r="F24" s="322"/>
      <c r="G24" s="300"/>
      <c r="H24" s="5"/>
      <c r="I24" s="31" t="s">
        <v>429</v>
      </c>
      <c r="J24" s="6">
        <f>_xlfn.XLOOKUP(J$21,B1_Calculs!$B$44:$B$68,B1_Calculs!$AQ$44:$AQ$68)</f>
        <v>1687000</v>
      </c>
      <c r="K24" s="6">
        <f>_xlfn.XLOOKUP(K$21,B1_Calculs!$B$44:$B$68,B1_Calculs!$AQ$44:$AQ$68)</f>
        <v>1985768.3144729005</v>
      </c>
      <c r="L24" s="6">
        <f>_xlfn.XLOOKUP(L$21,B1_Calculs!$B$44:$B$68,B1_Calculs!$AQ$44:$AQ$68)</f>
        <v>1525109.8389840224</v>
      </c>
      <c r="M24" s="6"/>
      <c r="N24" s="206">
        <v>591</v>
      </c>
    </row>
    <row r="25" spans="1:14" ht="12.95" customHeight="1" x14ac:dyDescent="0.2">
      <c r="A25" s="178">
        <v>613</v>
      </c>
      <c r="C25" s="183" t="s">
        <v>880</v>
      </c>
      <c r="D25" s="6">
        <f>SUM('E1_Données de projet'!D78:D79)</f>
        <v>300000</v>
      </c>
      <c r="E25" s="1" t="s">
        <v>163</v>
      </c>
      <c r="F25" s="322"/>
      <c r="G25" s="300"/>
      <c r="I25" s="1"/>
      <c r="J25" s="1"/>
      <c r="K25" s="1"/>
      <c r="L25" s="300"/>
      <c r="M25" s="300"/>
    </row>
    <row r="26" spans="1:14" ht="12.95" customHeight="1" x14ac:dyDescent="0.2">
      <c r="A26" s="178" t="s">
        <v>64</v>
      </c>
      <c r="C26" s="29" t="s">
        <v>261</v>
      </c>
      <c r="D26" s="6">
        <f>Eing_Kosten_Planung_QM</f>
        <v>400000</v>
      </c>
      <c r="E26" s="1" t="s">
        <v>163</v>
      </c>
      <c r="F26" s="322"/>
      <c r="G26" s="300"/>
      <c r="L26" s="300"/>
      <c r="M26" s="300"/>
      <c r="N26" s="206">
        <v>506</v>
      </c>
    </row>
    <row r="27" spans="1:14" ht="12.95" customHeight="1" x14ac:dyDescent="0.2">
      <c r="A27" s="178">
        <v>145</v>
      </c>
      <c r="B27" s="5"/>
      <c r="C27" s="25" t="s">
        <v>266</v>
      </c>
      <c r="D27" s="41">
        <f>Gesamtinvestition</f>
        <v>3060000</v>
      </c>
      <c r="E27" s="5" t="s">
        <v>163</v>
      </c>
      <c r="F27" s="42"/>
      <c r="G27" s="23"/>
      <c r="L27" s="300"/>
      <c r="M27" s="300"/>
      <c r="N27" s="24"/>
    </row>
    <row r="28" spans="1:14" ht="12.95" customHeight="1" x14ac:dyDescent="0.2">
      <c r="A28" s="178">
        <v>615</v>
      </c>
      <c r="B28" s="5" t="s">
        <v>430</v>
      </c>
      <c r="C28" s="29"/>
      <c r="D28" s="1"/>
      <c r="E28" s="1"/>
      <c r="F28" s="300"/>
      <c r="G28" s="300"/>
      <c r="L28" s="300"/>
      <c r="M28" s="300"/>
    </row>
    <row r="29" spans="1:14" ht="12.95" customHeight="1" x14ac:dyDescent="0.2">
      <c r="A29" s="178">
        <v>155</v>
      </c>
      <c r="B29" s="5"/>
      <c r="C29" s="183" t="s">
        <v>646</v>
      </c>
      <c r="D29" s="6">
        <f>Eing_Eigenkapital</f>
        <v>500000</v>
      </c>
      <c r="E29" s="1" t="s">
        <v>163</v>
      </c>
      <c r="F29" s="300"/>
      <c r="G29" s="300"/>
      <c r="L29" s="300"/>
      <c r="M29" s="300"/>
    </row>
    <row r="30" spans="1:14" ht="12.95" customHeight="1" x14ac:dyDescent="0.2">
      <c r="A30" s="178">
        <v>160</v>
      </c>
      <c r="C30" s="29" t="s">
        <v>431</v>
      </c>
      <c r="D30" s="6">
        <f>B1_Calculs!F37</f>
        <v>1350000</v>
      </c>
      <c r="E30" s="1" t="s">
        <v>163</v>
      </c>
      <c r="F30" s="300"/>
      <c r="G30" s="300"/>
      <c r="L30" s="300"/>
      <c r="M30" s="300"/>
    </row>
    <row r="31" spans="1:14" ht="12.95" customHeight="1" x14ac:dyDescent="0.2">
      <c r="A31" s="178">
        <v>165</v>
      </c>
      <c r="C31" s="31" t="s">
        <v>333</v>
      </c>
      <c r="D31" s="6">
        <f>B1_Calculs!F34</f>
        <v>300000</v>
      </c>
      <c r="E31" s="1" t="s">
        <v>163</v>
      </c>
      <c r="F31" s="300"/>
      <c r="G31" s="300"/>
      <c r="L31" s="300"/>
      <c r="M31" s="300"/>
    </row>
    <row r="32" spans="1:14" ht="12.95" customHeight="1" x14ac:dyDescent="0.2">
      <c r="A32" s="178">
        <v>543</v>
      </c>
      <c r="C32" s="31" t="s">
        <v>882</v>
      </c>
      <c r="D32" s="6">
        <f>B1_Calculs!F35</f>
        <v>-1191000</v>
      </c>
      <c r="E32" s="1" t="s">
        <v>163</v>
      </c>
      <c r="F32" s="321"/>
      <c r="G32" s="323"/>
      <c r="L32" s="300"/>
      <c r="M32" s="300"/>
    </row>
    <row r="33" spans="1:14" ht="6" customHeight="1" x14ac:dyDescent="0.2">
      <c r="A33" s="183"/>
      <c r="C33" s="29"/>
      <c r="D33" s="6"/>
      <c r="E33" s="1"/>
      <c r="F33" s="300"/>
      <c r="G33" s="300"/>
      <c r="H33" s="5"/>
      <c r="I33" s="1"/>
      <c r="J33" s="32"/>
      <c r="K33" s="33"/>
      <c r="L33" s="300"/>
      <c r="M33" s="300"/>
      <c r="N33" s="24"/>
    </row>
    <row r="34" spans="1:14" ht="12.95" customHeight="1" x14ac:dyDescent="0.2">
      <c r="A34" s="178">
        <v>620</v>
      </c>
      <c r="B34" s="5" t="s">
        <v>334</v>
      </c>
      <c r="C34" s="25"/>
      <c r="D34" s="26">
        <f>D19</f>
        <v>2025</v>
      </c>
      <c r="E34" s="43">
        <v>2030</v>
      </c>
      <c r="F34" s="27" t="str">
        <f>"jusqu'à "&amp;B1_Calculs!B68</f>
        <v>jusqu'à 2048</v>
      </c>
      <c r="G34" s="300"/>
      <c r="H34" s="5"/>
      <c r="I34" s="1"/>
      <c r="J34" s="32"/>
      <c r="K34" s="33"/>
      <c r="L34" s="300"/>
      <c r="M34" s="300"/>
      <c r="N34" s="24"/>
    </row>
    <row r="35" spans="1:14" ht="12.95" customHeight="1" x14ac:dyDescent="0.2">
      <c r="A35" s="174"/>
      <c r="B35" s="5"/>
      <c r="C35" s="25"/>
      <c r="D35" s="44" t="s">
        <v>432</v>
      </c>
      <c r="E35" s="44" t="s">
        <v>432</v>
      </c>
      <c r="F35" s="321" t="s">
        <v>427</v>
      </c>
      <c r="G35" s="300"/>
      <c r="H35" s="5"/>
      <c r="I35" s="1"/>
      <c r="J35" s="32"/>
      <c r="K35" s="33"/>
      <c r="L35" s="300"/>
      <c r="M35" s="300"/>
      <c r="N35" s="24"/>
    </row>
    <row r="36" spans="1:14" ht="12.95" customHeight="1" x14ac:dyDescent="0.2">
      <c r="A36" s="178">
        <v>621</v>
      </c>
      <c r="B36" s="5" t="s">
        <v>433</v>
      </c>
      <c r="C36" s="31" t="s">
        <v>434</v>
      </c>
      <c r="D36" s="6">
        <f>SUM(_xlfn.XLOOKUP(D34,B1_Calculs!$B$44:$B$68,B1_Calculs!$U$44:$U$68):_xlfn.XLOOKUP(D34,B1_Calculs!$B$44:$B$68,B1_Calculs!$AA$44:$AA$68))</f>
        <v>25264.227710526317</v>
      </c>
      <c r="E36" s="6">
        <f>SUM(_xlfn.XLOOKUP(E34,B1_Calculs!$B$44:$B$68,B1_Calculs!$U$44:$U$68):_xlfn.XLOOKUP(E34,B1_Calculs!$B$44:$B$68,B1_Calculs!$AA$44:$AA$68))</f>
        <v>143934.1093001948</v>
      </c>
      <c r="F36" s="6">
        <f>SUM(B1_Calculs!U44:AA68)</f>
        <v>3395710.883996191</v>
      </c>
      <c r="G36" s="1"/>
      <c r="H36" s="5"/>
      <c r="I36" s="1"/>
      <c r="J36" s="32"/>
      <c r="K36" s="33"/>
      <c r="L36" s="300"/>
      <c r="M36" s="300"/>
      <c r="N36" s="24"/>
    </row>
    <row r="37" spans="1:14" ht="12.95" customHeight="1" x14ac:dyDescent="0.2">
      <c r="A37" s="178">
        <v>622</v>
      </c>
      <c r="C37" s="31" t="s">
        <v>435</v>
      </c>
      <c r="D37" s="6">
        <f>SUM(_xlfn.XLOOKUP(D34,B1_Calculs!$B$44:$B$68,B1_Calculs!$AB$44:$AB$68):_xlfn.XLOOKUP(D34,B1_Calculs!$B$44:$B$68,B1_Calculs!$AE$44:$AE$68))</f>
        <v>89314.3</v>
      </c>
      <c r="E37" s="6">
        <f>SUM(_xlfn.XLOOKUP(E34,B1_Calculs!$B$44:$B$68,B1_Calculs!$AB$44:$AB$68):_xlfn.XLOOKUP(E34,B1_Calculs!$B$44:$B$68,B1_Calculs!$AE$44:$AE$68))</f>
        <v>118359.49679201152</v>
      </c>
      <c r="F37" s="6">
        <f>SUM(B1_Calculs!AB44:AE68)</f>
        <v>2985211.8528178167</v>
      </c>
      <c r="G37" s="1"/>
      <c r="I37" s="31"/>
      <c r="J37" s="34"/>
      <c r="K37" s="34"/>
      <c r="L37" s="300"/>
      <c r="M37" s="300"/>
      <c r="N37" s="24"/>
    </row>
    <row r="38" spans="1:14" ht="12.95" customHeight="1" x14ac:dyDescent="0.2">
      <c r="A38" s="178">
        <v>623</v>
      </c>
      <c r="C38" s="31" t="s">
        <v>883</v>
      </c>
      <c r="D38" s="6">
        <f>_xlfn.XLOOKUP(D34,B1_Calculs!$B$44:$B$68,B1_Calculs!$AG$44:$AG$68)</f>
        <v>33000</v>
      </c>
      <c r="E38" s="6">
        <f>_xlfn.XLOOKUP(E34,B1_Calculs!$B$44:$B$68,B1_Calculs!$AG$44:$AG$68)</f>
        <v>26289.473684210527</v>
      </c>
      <c r="F38" s="6">
        <f>SUM(B1_Calculs!AG44:AG68)</f>
        <v>441270.00000000012</v>
      </c>
      <c r="G38" s="1"/>
      <c r="L38" s="300"/>
      <c r="M38" s="300"/>
    </row>
    <row r="39" spans="1:14" ht="12.95" customHeight="1" x14ac:dyDescent="0.2">
      <c r="A39" s="178">
        <v>624</v>
      </c>
      <c r="B39" s="5"/>
      <c r="C39" s="136" t="s">
        <v>436</v>
      </c>
      <c r="D39" s="41">
        <f t="shared" ref="D39:F39" si="0">SUM(D36:D38)</f>
        <v>147578.52771052631</v>
      </c>
      <c r="E39" s="41">
        <f t="shared" si="0"/>
        <v>288583.07977641682</v>
      </c>
      <c r="F39" s="41">
        <f t="shared" si="0"/>
        <v>6822192.7368140072</v>
      </c>
      <c r="G39" s="41"/>
      <c r="H39" s="5"/>
      <c r="I39" s="1"/>
      <c r="J39" s="32"/>
      <c r="K39" s="45"/>
      <c r="L39" s="300"/>
      <c r="M39" s="300"/>
      <c r="N39" s="24"/>
    </row>
    <row r="40" spans="1:14" ht="12.95" customHeight="1" x14ac:dyDescent="0.2">
      <c r="A40" s="178">
        <v>625</v>
      </c>
      <c r="B40" s="5" t="s">
        <v>394</v>
      </c>
      <c r="C40" s="31" t="s">
        <v>885</v>
      </c>
      <c r="D40" s="6">
        <f>SUM(_xlfn.XLOOKUP(D$34,B1_Calculs!$B$44:$B$68,B1_Calculs!$N$44:$N$68):_xlfn.XLOOKUP(D$34,B1_Calculs!$B$44:$B$68,B1_Calculs!$P$44:$P$68))</f>
        <v>60064.7</v>
      </c>
      <c r="E40" s="6">
        <f>SUM(_xlfn.XLOOKUP(E$34,B1_Calculs!$B$44:$B$68,B1_Calculs!$N$44:$N$68):_xlfn.XLOOKUP(E$34,B1_Calculs!$B$44:$B$68,B1_Calculs!$P$44:$P$68))</f>
        <v>374749.55978794215</v>
      </c>
      <c r="F40" s="6">
        <f>SUM(B1_Calculs!N44:P68)</f>
        <v>9125661.0241527427</v>
      </c>
      <c r="G40" s="1"/>
      <c r="I40" s="31"/>
      <c r="J40" s="34"/>
      <c r="K40" s="34"/>
      <c r="L40" s="300"/>
      <c r="M40" s="300"/>
      <c r="N40" s="24"/>
    </row>
    <row r="41" spans="1:14" ht="12.95" customHeight="1" x14ac:dyDescent="0.2">
      <c r="A41" s="178">
        <v>626</v>
      </c>
      <c r="C41" s="31" t="s">
        <v>884</v>
      </c>
      <c r="D41" s="6">
        <f>SUM(_xlfn.XLOOKUP(D$34,B1_Calculs!$B$44:$B$68,B1_Calculs!$Q$44:$Q$68):_xlfn.XLOOKUP(D$34,B1_Calculs!$B$44:$B$68,B1_Calculs!$S$44:$S$68))</f>
        <v>0</v>
      </c>
      <c r="E41" s="6">
        <f>SUM(_xlfn.XLOOKUP(E$34,B1_Calculs!$B$44:$B$68,B1_Calculs!$Q$44:$Q$68):_xlfn.XLOOKUP(E$34,B1_Calculs!$B$44:$B$68,B1_Calculs!$S$44:$S$68))</f>
        <v>0</v>
      </c>
      <c r="F41" s="6">
        <f>SUM(B1_Calculs!Q44:S68)</f>
        <v>0</v>
      </c>
      <c r="G41" s="1"/>
      <c r="I41" s="31"/>
      <c r="J41" s="34"/>
      <c r="K41" s="34"/>
      <c r="L41" s="300"/>
      <c r="M41" s="300"/>
      <c r="N41" s="24"/>
    </row>
    <row r="42" spans="1:14" ht="12.95" customHeight="1" x14ac:dyDescent="0.2">
      <c r="A42" s="178">
        <v>627</v>
      </c>
      <c r="B42" s="5"/>
      <c r="C42" s="46" t="s">
        <v>437</v>
      </c>
      <c r="D42" s="41">
        <f>SUM(D40:D41)</f>
        <v>60064.7</v>
      </c>
      <c r="E42" s="41">
        <f>SUM(E40:E41)</f>
        <v>374749.55978794215</v>
      </c>
      <c r="F42" s="41">
        <f>SUM(F40:F41)</f>
        <v>9125661.0241527427</v>
      </c>
      <c r="G42" s="41"/>
      <c r="H42" s="5" t="s">
        <v>438</v>
      </c>
      <c r="L42" s="300"/>
      <c r="M42" s="300"/>
      <c r="N42" s="206">
        <v>690</v>
      </c>
    </row>
    <row r="43" spans="1:14" ht="6" customHeight="1" x14ac:dyDescent="0.2">
      <c r="A43" s="174"/>
      <c r="B43" s="5"/>
      <c r="C43" s="46"/>
      <c r="D43" s="41"/>
      <c r="E43" s="41"/>
      <c r="F43" s="41"/>
      <c r="G43" s="41"/>
      <c r="I43" s="31"/>
      <c r="J43" s="34"/>
      <c r="K43" s="34"/>
      <c r="L43" s="300"/>
      <c r="M43" s="300"/>
    </row>
    <row r="44" spans="1:14" ht="12.95" customHeight="1" x14ac:dyDescent="0.2">
      <c r="A44" s="178">
        <v>505</v>
      </c>
      <c r="B44" s="5"/>
      <c r="C44" s="31"/>
      <c r="D44" s="6"/>
      <c r="E44" s="6"/>
      <c r="F44" s="6"/>
      <c r="G44" s="6"/>
      <c r="H44" s="367"/>
      <c r="I44" s="367"/>
      <c r="J44" s="367"/>
      <c r="K44" s="367"/>
      <c r="L44" s="367"/>
      <c r="M44" s="367"/>
    </row>
    <row r="45" spans="1:14" ht="12.95" customHeight="1" x14ac:dyDescent="0.2">
      <c r="B45" s="5"/>
      <c r="C45" s="31"/>
      <c r="D45" s="6"/>
      <c r="E45" s="6"/>
      <c r="F45" s="6"/>
      <c r="G45" s="6"/>
      <c r="H45" s="367"/>
      <c r="I45" s="367"/>
      <c r="J45" s="367"/>
      <c r="K45" s="367"/>
      <c r="L45" s="367"/>
      <c r="M45" s="367"/>
    </row>
    <row r="46" spans="1:14" ht="12.95" customHeight="1" x14ac:dyDescent="0.2">
      <c r="B46" s="5"/>
      <c r="C46" s="31"/>
      <c r="D46" s="40"/>
      <c r="E46" s="40"/>
      <c r="F46" s="40"/>
      <c r="G46" s="6"/>
      <c r="H46" s="367"/>
      <c r="I46" s="367"/>
      <c r="J46" s="367"/>
      <c r="K46" s="367"/>
      <c r="L46" s="367"/>
      <c r="M46" s="367"/>
    </row>
    <row r="47" spans="1:14" ht="12.95" customHeight="1" x14ac:dyDescent="0.2">
      <c r="B47" s="5"/>
      <c r="C47" s="46"/>
      <c r="D47" s="41"/>
      <c r="E47" s="41"/>
      <c r="F47" s="41"/>
      <c r="G47" s="41"/>
      <c r="H47" s="367"/>
      <c r="I47" s="367"/>
      <c r="J47" s="367"/>
      <c r="K47" s="367"/>
      <c r="L47" s="367"/>
      <c r="M47" s="367"/>
    </row>
    <row r="48" spans="1:14" ht="12.95" customHeight="1" x14ac:dyDescent="0.2">
      <c r="C48" s="1"/>
      <c r="D48" s="1"/>
      <c r="E48" s="1"/>
      <c r="F48" s="300"/>
      <c r="G48" s="300"/>
      <c r="H48" s="367"/>
      <c r="I48" s="367"/>
      <c r="J48" s="367"/>
      <c r="K48" s="367"/>
      <c r="L48" s="367"/>
      <c r="M48" s="367"/>
    </row>
    <row r="49" spans="3:13" x14ac:dyDescent="0.2">
      <c r="C49" s="1"/>
      <c r="D49" s="1"/>
      <c r="E49" s="1"/>
      <c r="F49" s="300"/>
      <c r="G49" s="300"/>
      <c r="H49" s="367"/>
      <c r="I49" s="367"/>
      <c r="J49" s="367"/>
      <c r="K49" s="367"/>
      <c r="L49" s="367"/>
      <c r="M49" s="367"/>
    </row>
    <row r="50" spans="3:13" x14ac:dyDescent="0.2">
      <c r="C50" s="1"/>
      <c r="D50" s="1"/>
      <c r="E50" s="1"/>
      <c r="F50" s="300"/>
      <c r="G50" s="300"/>
      <c r="H50" s="367"/>
      <c r="I50" s="367"/>
      <c r="J50" s="367"/>
      <c r="K50" s="367"/>
      <c r="L50" s="367"/>
      <c r="M50" s="367"/>
    </row>
    <row r="51" spans="3:13" x14ac:dyDescent="0.2">
      <c r="C51" s="1"/>
      <c r="D51" s="1"/>
      <c r="E51" s="1"/>
      <c r="F51" s="300"/>
      <c r="G51" s="300"/>
      <c r="H51" s="367"/>
      <c r="I51" s="367"/>
      <c r="J51" s="367"/>
      <c r="K51" s="367"/>
      <c r="L51" s="367"/>
      <c r="M51" s="367"/>
    </row>
    <row r="52" spans="3:13" x14ac:dyDescent="0.2">
      <c r="C52" s="1"/>
      <c r="D52" s="1"/>
      <c r="E52" s="1"/>
      <c r="F52" s="300"/>
      <c r="G52" s="300"/>
      <c r="H52" s="367"/>
      <c r="I52" s="367"/>
      <c r="J52" s="367"/>
      <c r="K52" s="367"/>
      <c r="L52" s="367"/>
      <c r="M52" s="367"/>
    </row>
    <row r="53" spans="3:13" x14ac:dyDescent="0.2">
      <c r="C53" s="1"/>
      <c r="D53" s="1"/>
      <c r="E53" s="1"/>
      <c r="F53" s="300"/>
      <c r="G53" s="300"/>
      <c r="H53" s="367"/>
      <c r="I53" s="367"/>
      <c r="J53" s="367"/>
      <c r="K53" s="367"/>
      <c r="L53" s="367"/>
      <c r="M53" s="367"/>
    </row>
    <row r="54" spans="3:13" x14ac:dyDescent="0.2">
      <c r="C54" s="1"/>
      <c r="D54" s="1"/>
      <c r="E54" s="1"/>
      <c r="F54" s="300"/>
      <c r="G54" s="300"/>
      <c r="H54" s="367"/>
      <c r="I54" s="367"/>
      <c r="J54" s="367"/>
      <c r="K54" s="367"/>
      <c r="L54" s="367"/>
      <c r="M54" s="367"/>
    </row>
    <row r="55" spans="3:13" x14ac:dyDescent="0.2">
      <c r="C55" s="1"/>
      <c r="D55" s="1"/>
      <c r="E55" s="1"/>
      <c r="F55" s="300"/>
      <c r="G55" s="300"/>
      <c r="H55" s="367"/>
      <c r="I55" s="367"/>
      <c r="J55" s="367"/>
      <c r="K55" s="367"/>
      <c r="L55" s="367"/>
      <c r="M55" s="367"/>
    </row>
    <row r="56" spans="3:13" x14ac:dyDescent="0.2">
      <c r="C56" s="1"/>
      <c r="D56" s="1"/>
      <c r="E56" s="1"/>
      <c r="F56" s="300"/>
      <c r="G56" s="300"/>
      <c r="H56" s="367"/>
      <c r="I56" s="367"/>
      <c r="J56" s="367"/>
      <c r="K56" s="367"/>
      <c r="L56" s="367"/>
      <c r="M56" s="367"/>
    </row>
    <row r="57" spans="3:13" x14ac:dyDescent="0.2">
      <c r="C57" s="1"/>
      <c r="D57" s="1"/>
      <c r="E57" s="1"/>
      <c r="F57" s="300"/>
      <c r="G57" s="300"/>
      <c r="H57" s="367"/>
      <c r="I57" s="367"/>
      <c r="J57" s="367"/>
      <c r="K57" s="367"/>
      <c r="L57" s="367"/>
      <c r="M57" s="367"/>
    </row>
    <row r="58" spans="3:13" x14ac:dyDescent="0.2">
      <c r="C58" s="1"/>
      <c r="D58" s="1"/>
      <c r="E58" s="1"/>
      <c r="F58" s="300"/>
      <c r="G58" s="300"/>
      <c r="H58" s="367"/>
      <c r="I58" s="367"/>
      <c r="J58" s="367"/>
      <c r="K58" s="367"/>
      <c r="L58" s="367"/>
      <c r="M58" s="367"/>
    </row>
    <row r="59" spans="3:13" x14ac:dyDescent="0.2">
      <c r="C59" s="1"/>
      <c r="D59" s="1"/>
      <c r="E59" s="1"/>
      <c r="F59" s="300"/>
      <c r="G59" s="300"/>
      <c r="H59" s="367"/>
      <c r="I59" s="367"/>
      <c r="J59" s="367"/>
      <c r="K59" s="367"/>
      <c r="L59" s="367"/>
      <c r="M59" s="367"/>
    </row>
    <row r="60" spans="3:13" x14ac:dyDescent="0.2">
      <c r="C60" s="1"/>
      <c r="D60" s="1"/>
      <c r="E60" s="1"/>
      <c r="F60" s="300"/>
      <c r="G60" s="300"/>
      <c r="H60" s="367"/>
      <c r="I60" s="367"/>
      <c r="J60" s="367"/>
      <c r="K60" s="367"/>
      <c r="L60" s="367"/>
      <c r="M60" s="367"/>
    </row>
  </sheetData>
  <sheetProtection algorithmName="SHA-512" hashValue="PGGaaOb1KUAJYy7p+rZK7n/onWE1i62ttF7EBBCOYGChQhh4fBzeMl2fTUUBumYtACbDz0aCv5CygzkRyM+HTw==" saltValue="l5myfZrl0hCryKNofEHEAw==" spinCount="100000" sheet="1" objects="1" scenarios="1"/>
  <mergeCells count="2">
    <mergeCell ref="C12:G12"/>
    <mergeCell ref="H44:M60"/>
  </mergeCells>
  <dataValidations xWindow="527" yWindow="753" count="1">
    <dataValidation allowBlank="1" errorTitle="Jahr ausserhalb der Betrachtung" error="Es können nur Jahre innerhalb des Betrachtungszeitraumes von 25 Jahren ab Projektstart ausgewertet werden." sqref="E35" xr:uid="{39142507-4378-45D9-9243-5E04BA3914A7}"/>
  </dataValidations>
  <hyperlinks>
    <hyperlink ref="A1" location="I1_600" display="I1_600" xr:uid="{00000000-0004-0000-0500-000000000000}"/>
    <hyperlink ref="A3" location="I1_101a" display="101a" xr:uid="{00000000-0004-0000-0500-000001000000}"/>
    <hyperlink ref="A4" location="I1_101k" display="101k" xr:uid="{00000000-0004-0000-0500-000002000000}"/>
    <hyperlink ref="A6" location="I1_106" display="I1_106" xr:uid="{00000000-0004-0000-0500-000003000000}"/>
    <hyperlink ref="A10" location="I1_107" display="I1_107" xr:uid="{00000000-0004-0000-0500-000004000000}"/>
    <hyperlink ref="A12" location="I1_501" display="I1_501" xr:uid="{00000000-0004-0000-0500-000005000000}"/>
    <hyperlink ref="A14" location="I1_110" display="I1_110" xr:uid="{00000000-0004-0000-0500-000006000000}"/>
    <hyperlink ref="A15" location="I1_110a" display="a" xr:uid="{00000000-0004-0000-0500-000007000000}"/>
    <hyperlink ref="A16" location="I1_110b" display="b" xr:uid="{00000000-0004-0000-0500-000008000000}"/>
    <hyperlink ref="A18" location="I1_110g" display="g" xr:uid="{00000000-0004-0000-0500-000009000000}"/>
    <hyperlink ref="A19" location="I1_110h" display="h" xr:uid="{00000000-0004-0000-0500-00000A000000}"/>
    <hyperlink ref="A21" location="I1_610" display="I1_610" xr:uid="{00000000-0004-0000-0500-00000B000000}"/>
    <hyperlink ref="A22" location="I1_145a" display="145a" xr:uid="{00000000-0004-0000-0500-00000C000000}"/>
    <hyperlink ref="A23" location="I1_612" display="I1_612" xr:uid="{00000000-0004-0000-0500-00000D000000}"/>
    <hyperlink ref="A24" location="I1_145j" display="145j" xr:uid="{00000000-0004-0000-0500-00000E000000}"/>
    <hyperlink ref="A26" location="I1_145m" display="145m" xr:uid="{00000000-0004-0000-0500-00000F000000}"/>
    <hyperlink ref="A27" location="I1_145" display="I1_145" xr:uid="{00000000-0004-0000-0500-000010000000}"/>
    <hyperlink ref="A28" location="I1_615" display="I1_615" xr:uid="{00000000-0004-0000-0500-000011000000}"/>
    <hyperlink ref="A30" location="I1_160" display="I1_160" xr:uid="{00000000-0004-0000-0500-000012000000}"/>
    <hyperlink ref="A31" location="I1_165" display="I1_165" xr:uid="{00000000-0004-0000-0500-000013000000}"/>
    <hyperlink ref="A32" location="I1_543" display="I1_543" xr:uid="{00000000-0004-0000-0500-000014000000}"/>
    <hyperlink ref="A34" location="I1_620" display="I1_620" xr:uid="{00000000-0004-0000-0500-000015000000}"/>
    <hyperlink ref="A36" location="I1_621" display="I1_621" xr:uid="{00000000-0004-0000-0500-000016000000}"/>
    <hyperlink ref="A37" location="I1_622" display="I1_622" xr:uid="{00000000-0004-0000-0500-000017000000}"/>
    <hyperlink ref="A39" location="I1_624" display="I1_624" xr:uid="{00000000-0004-0000-0500-000018000000}"/>
    <hyperlink ref="A40" location="I1_625" display="I1_625" xr:uid="{00000000-0004-0000-0500-000019000000}"/>
    <hyperlink ref="A41" location="I1_626" display="I1_626" xr:uid="{00000000-0004-0000-0500-00001A000000}"/>
    <hyperlink ref="A42" location="I1_627" display="I1_627" xr:uid="{00000000-0004-0000-0500-00001B000000}"/>
    <hyperlink ref="A44" location="I1_505" display="I1_505" xr:uid="{00000000-0004-0000-0500-00001C000000}"/>
    <hyperlink ref="N3" location="I1_650" display="I1_650" xr:uid="{00000000-0004-0000-0500-00001D000000}"/>
    <hyperlink ref="N4" location="I1_533" display="I1_533" xr:uid="{00000000-0004-0000-0500-00001E000000}"/>
    <hyperlink ref="N5" location="I1_532" display="I1_532" xr:uid="{00000000-0004-0000-0500-00001F000000}"/>
    <hyperlink ref="N7" location="I1_655" display="I1_655" xr:uid="{00000000-0004-0000-0500-000021000000}"/>
    <hyperlink ref="N42" location="I1_690" display="I1_690" xr:uid="{00000000-0004-0000-0500-000022000000}"/>
    <hyperlink ref="N26" location="I1_506" display="I1_506" xr:uid="{00000000-0004-0000-0500-000026000000}"/>
    <hyperlink ref="A38" location="I1_623" display="I1_623" xr:uid="{00000000-0004-0000-0500-000027000000}"/>
    <hyperlink ref="A25" location="I1_613" display="I1_613" xr:uid="{5DE7440E-F5A3-48E8-94C4-FEB9D0D7DAEC}"/>
    <hyperlink ref="A29" location="I1_155" display="I1_155" xr:uid="{DB4A64C0-FB65-4532-B6C7-648C081A5F07}"/>
    <hyperlink ref="N23" location="I1_592" display="I1_592" xr:uid="{59154CC2-5B0F-49B1-872A-82A47EC620FE}"/>
    <hyperlink ref="N24" location="I1_506" display="I1_506" xr:uid="{DFF528FB-B3A7-4C9A-BD82-A100054E5AF3}"/>
  </hyperlinks>
  <pageMargins left="0.70866141732283472" right="0.70866141732283472" top="0.78740157480314965" bottom="0.78740157480314965" header="0.31496062992125984" footer="0.31496062992125984"/>
  <pageSetup paperSize="9" orientation="portrait" r:id="rId1"/>
  <headerFooter>
    <oddHeader>&amp;R&amp;G</oddHeader>
    <oddFooter>&amp;L&amp;10&amp;G&amp;C&amp;10Seite &amp;P/&amp;N&amp;R&amp;10&amp;D</oddFooter>
  </headerFooter>
  <colBreaks count="1" manualBreakCount="1">
    <brk id="7" max="1048575" man="1"/>
  </colBreaks>
  <drawing r:id="rId2"/>
  <legacyDrawing r:id="rId3"/>
  <legacyDrawingHF r:id="rId4"/>
  <extLst>
    <ext xmlns:x14="http://schemas.microsoft.com/office/spreadsheetml/2009/9/main" uri="{CCE6A557-97BC-4b89-ADB6-D9C93CAAB3DF}">
      <x14:dataValidations xmlns:xm="http://schemas.microsoft.com/office/excel/2006/main" xWindow="527" yWindow="753" count="1">
        <x14:dataValidation type="whole" allowBlank="1" showInputMessage="1" showErrorMessage="1" errorTitle="Année hors de la périonde consid" error="Seules les années comprises dans la période considérée de 25 ans à compter du début du projet peuvent être évaluées." promptTitle="Année d'évaluation" prompt="Entrer l'année qui est comprise dans la période considérée" xr:uid="{00000000-0002-0000-0500-000000000000}">
          <x14:formula1>
            <xm:f>B1_Calculs!B44</xm:f>
          </x14:formula1>
          <x14:formula2>
            <xm:f>B1_Calculs!B68</xm:f>
          </x14:formula2>
          <xm:sqref>E34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793A3-2788-4F84-8760-6F218F0A4C44}">
  <sheetPr>
    <pageSetUpPr fitToPage="1"/>
  </sheetPr>
  <dimension ref="A1:AC47"/>
  <sheetViews>
    <sheetView workbookViewId="0">
      <selection activeCell="E40" sqref="E40"/>
    </sheetView>
  </sheetViews>
  <sheetFormatPr baseColWidth="10" defaultColWidth="0" defaultRowHeight="0" customHeight="1" zeroHeight="1" x14ac:dyDescent="0.2"/>
  <cols>
    <col min="1" max="1" width="5.28515625" style="31" customWidth="1"/>
    <col min="2" max="2" width="16.28515625" style="1" customWidth="1"/>
    <col min="3" max="3" width="21.28515625" style="1" customWidth="1"/>
    <col min="4" max="4" width="6.7109375" style="1" customWidth="1"/>
    <col min="5" max="5" width="10.7109375" style="1" customWidth="1"/>
    <col min="6" max="29" width="10.7109375" style="35" customWidth="1"/>
    <col min="30" max="16384" width="10.85546875" style="35" hidden="1"/>
  </cols>
  <sheetData>
    <row r="1" spans="1:29" ht="18" x14ac:dyDescent="0.25">
      <c r="A1" s="178">
        <v>700</v>
      </c>
      <c r="B1" s="148" t="s">
        <v>381</v>
      </c>
    </row>
    <row r="2" spans="1:29" ht="12.95" customHeight="1" x14ac:dyDescent="0.2">
      <c r="A2" s="178"/>
    </row>
    <row r="3" spans="1:29" ht="12.95" customHeight="1" x14ac:dyDescent="0.2">
      <c r="A3" s="178" t="s">
        <v>2</v>
      </c>
      <c r="C3" s="361" t="s">
        <v>175</v>
      </c>
      <c r="D3" s="361"/>
      <c r="E3" s="361"/>
      <c r="F3" s="361"/>
      <c r="G3" s="361"/>
      <c r="H3" s="361"/>
    </row>
    <row r="4" spans="1:29" s="1" customFormat="1" ht="12.95" customHeight="1" x14ac:dyDescent="0.2">
      <c r="A4" s="178" t="s">
        <v>4</v>
      </c>
      <c r="C4" s="362" t="s">
        <v>382</v>
      </c>
      <c r="D4" s="362"/>
      <c r="E4" s="362"/>
      <c r="F4" s="362"/>
      <c r="G4" s="362"/>
      <c r="H4" s="362"/>
    </row>
    <row r="5" spans="1:29" ht="12.95" customHeight="1" x14ac:dyDescent="0.2">
      <c r="A5" s="178" t="s">
        <v>9</v>
      </c>
      <c r="B5" s="1" t="s">
        <v>179</v>
      </c>
      <c r="G5" s="1"/>
      <c r="H5" s="1"/>
      <c r="I5" s="1"/>
      <c r="J5" s="1"/>
      <c r="K5" s="1"/>
      <c r="L5" s="1"/>
      <c r="M5" s="1"/>
      <c r="N5" s="1"/>
      <c r="O5" s="1"/>
    </row>
    <row r="6" spans="1:29" s="1" customFormat="1" ht="12.95" customHeight="1" x14ac:dyDescent="0.2">
      <c r="A6" s="178"/>
      <c r="H6" s="4"/>
    </row>
    <row r="7" spans="1:29" s="1" customFormat="1" ht="12.95" customHeight="1" x14ac:dyDescent="0.2">
      <c r="A7" s="178">
        <v>106</v>
      </c>
      <c r="B7" s="5" t="s">
        <v>180</v>
      </c>
      <c r="C7" s="1" t="str">
        <f>IF('E1_Données de projet'!C8=0,"",'E1_Données de projet'!C8)</f>
        <v>QMH projet example 2</v>
      </c>
      <c r="F7" s="222"/>
      <c r="H7" s="4"/>
      <c r="O7" s="245"/>
    </row>
    <row r="8" spans="1:29" s="1" customFormat="1" ht="12.95" customHeight="1" x14ac:dyDescent="0.2">
      <c r="A8" s="178"/>
      <c r="C8" s="1" t="str">
        <f>IF('E1_Données de projet'!C9=0,"",'E1_Données de projet'!C9)</f>
        <v>Modèle de rentabilité</v>
      </c>
      <c r="F8" s="222"/>
      <c r="H8" s="4"/>
      <c r="L8" s="6"/>
      <c r="O8" s="245"/>
    </row>
    <row r="9" spans="1:29" s="1" customFormat="1" ht="12.95" customHeight="1" x14ac:dyDescent="0.2">
      <c r="A9" s="178"/>
      <c r="C9" s="1" t="str">
        <f>IF('E1_Données de projet'!C10=0,"",'E1_Données de projet'!C10)</f>
        <v>CP / lieu</v>
      </c>
      <c r="F9" s="222"/>
      <c r="H9" s="4"/>
      <c r="L9" s="6"/>
      <c r="O9" s="245"/>
    </row>
    <row r="10" spans="1:29" s="1" customFormat="1" ht="12.95" customHeight="1" x14ac:dyDescent="0.2">
      <c r="A10" s="178"/>
      <c r="F10" s="222"/>
      <c r="H10" s="4"/>
      <c r="L10" s="7"/>
      <c r="O10" s="245"/>
    </row>
    <row r="11" spans="1:29" s="1" customFormat="1" ht="12.95" customHeight="1" x14ac:dyDescent="0.2">
      <c r="A11" s="178">
        <v>107</v>
      </c>
      <c r="B11" s="1" t="s">
        <v>181</v>
      </c>
      <c r="C11" s="1" t="str">
        <f>IF('E1_Données de projet'!C12=0,"",'E1_Données de projet'!C12)</f>
        <v>date, nome</v>
      </c>
      <c r="F11" s="222"/>
    </row>
    <row r="12" spans="1:29" s="1" customFormat="1" ht="12.95" customHeight="1" x14ac:dyDescent="0.2">
      <c r="A12" s="178"/>
      <c r="J12" s="207"/>
      <c r="M12" s="207"/>
    </row>
    <row r="13" spans="1:29" s="1" customFormat="1" ht="12.95" customHeight="1" x14ac:dyDescent="0.2">
      <c r="A13" s="178">
        <v>501</v>
      </c>
      <c r="B13" s="36" t="s">
        <v>385</v>
      </c>
      <c r="C13" s="366" t="str">
        <f>IF('E1_Données de projet'!C14&lt;&gt;"",'E1_Données de projet'!Y15,"")</f>
        <v/>
      </c>
      <c r="D13" s="366"/>
      <c r="E13" s="366"/>
      <c r="F13" s="366"/>
      <c r="G13" s="366"/>
      <c r="H13" s="35"/>
      <c r="I13" s="35"/>
      <c r="J13" s="35"/>
      <c r="K13" s="35"/>
      <c r="L13" s="35"/>
      <c r="M13" s="35"/>
      <c r="N13" s="35"/>
      <c r="O13" s="35"/>
    </row>
    <row r="14" spans="1:29" ht="12.75" customHeight="1" x14ac:dyDescent="0.2">
      <c r="A14" s="178"/>
      <c r="P14" s="1"/>
      <c r="Q14" s="1"/>
    </row>
    <row r="15" spans="1:29" s="38" customFormat="1" ht="12.75" customHeight="1" x14ac:dyDescent="0.2">
      <c r="A15" s="178">
        <v>531</v>
      </c>
      <c r="B15" s="212" t="s">
        <v>394</v>
      </c>
      <c r="C15" s="212"/>
      <c r="D15" s="212"/>
      <c r="E15" s="268" cm="1">
        <f t="array" ref="E15:AC15">TRANSPOSE(B1_Calculs!B$44:B$68)</f>
        <v>2024</v>
      </c>
      <c r="F15" s="263">
        <v>2025</v>
      </c>
      <c r="G15" s="263">
        <v>2026</v>
      </c>
      <c r="H15" s="263">
        <v>2027</v>
      </c>
      <c r="I15" s="263">
        <v>2028</v>
      </c>
      <c r="J15" s="263">
        <v>2029</v>
      </c>
      <c r="K15" s="263">
        <v>2030</v>
      </c>
      <c r="L15" s="263">
        <v>2031</v>
      </c>
      <c r="M15" s="263">
        <v>2032</v>
      </c>
      <c r="N15" s="263">
        <v>2033</v>
      </c>
      <c r="O15" s="263">
        <v>2034</v>
      </c>
      <c r="P15" s="264">
        <v>2035</v>
      </c>
      <c r="Q15" s="264">
        <v>2036</v>
      </c>
      <c r="R15" s="263">
        <v>2037</v>
      </c>
      <c r="S15" s="263">
        <v>2038</v>
      </c>
      <c r="T15" s="263">
        <v>2039</v>
      </c>
      <c r="U15" s="263">
        <v>2040</v>
      </c>
      <c r="V15" s="263">
        <v>2041</v>
      </c>
      <c r="W15" s="263">
        <v>2042</v>
      </c>
      <c r="X15" s="263">
        <v>2043</v>
      </c>
      <c r="Y15" s="263">
        <v>2044</v>
      </c>
      <c r="Z15" s="263">
        <v>2045</v>
      </c>
      <c r="AA15" s="263">
        <v>2046</v>
      </c>
      <c r="AB15" s="263">
        <v>2047</v>
      </c>
      <c r="AC15" s="265">
        <v>2048</v>
      </c>
    </row>
    <row r="16" spans="1:29" ht="12.75" customHeight="1" x14ac:dyDescent="0.2">
      <c r="A16" s="178">
        <v>561</v>
      </c>
      <c r="B16" s="251"/>
      <c r="C16" s="342" t="s">
        <v>896</v>
      </c>
      <c r="D16" s="209" t="s">
        <v>427</v>
      </c>
      <c r="E16" s="252" cm="1">
        <f t="array" ref="E16:AC16">TRANSPOSE(B1_Calculs!N$44:N$68)</f>
        <v>0</v>
      </c>
      <c r="F16" s="253">
        <v>60064.7</v>
      </c>
      <c r="G16" s="253">
        <v>210542.51429950001</v>
      </c>
      <c r="H16" s="253">
        <v>326410.46694780339</v>
      </c>
      <c r="I16" s="253">
        <v>371787.51373451087</v>
      </c>
      <c r="J16" s="253">
        <v>373261.05682915112</v>
      </c>
      <c r="K16" s="253">
        <v>374749.55978794215</v>
      </c>
      <c r="L16" s="253">
        <v>376253.17218708189</v>
      </c>
      <c r="M16" s="253">
        <v>389193.84492877685</v>
      </c>
      <c r="N16" s="253">
        <v>402247.17176531558</v>
      </c>
      <c r="O16" s="253">
        <v>403895.25150461751</v>
      </c>
      <c r="P16" s="253">
        <v>405560.04948051029</v>
      </c>
      <c r="Q16" s="253">
        <v>407241.73285161599</v>
      </c>
      <c r="R16" s="253">
        <v>408940.47044814506</v>
      </c>
      <c r="S16" s="253">
        <v>410656.43278861267</v>
      </c>
      <c r="T16" s="253">
        <v>412389.79209672124</v>
      </c>
      <c r="U16" s="253">
        <v>414140.72231841303</v>
      </c>
      <c r="V16" s="253">
        <v>415909.39913909161</v>
      </c>
      <c r="W16" s="253">
        <v>417696.00000101724</v>
      </c>
      <c r="X16" s="253">
        <v>419500.70412087499</v>
      </c>
      <c r="Y16" s="253">
        <v>421323.69250751939</v>
      </c>
      <c r="Z16" s="253">
        <v>423165.14797989564</v>
      </c>
      <c r="AA16" s="253">
        <v>425025.255185141</v>
      </c>
      <c r="AB16" s="253">
        <v>426904.20061686623</v>
      </c>
      <c r="AC16" s="254">
        <v>428802.17263362079</v>
      </c>
    </row>
    <row r="17" spans="1:29" ht="12.75" customHeight="1" x14ac:dyDescent="0.2">
      <c r="A17" s="178">
        <v>562</v>
      </c>
      <c r="B17" s="343"/>
      <c r="C17" s="248" t="s">
        <v>774</v>
      </c>
      <c r="D17" s="248" t="s">
        <v>427</v>
      </c>
      <c r="E17" s="88" cm="1">
        <f t="array" ref="E17:AC17">TRANSPOSE(B1_Calculs!O$44:O$68)</f>
        <v>0</v>
      </c>
      <c r="F17" s="249">
        <v>0</v>
      </c>
      <c r="G17" s="249">
        <v>0</v>
      </c>
      <c r="H17" s="249">
        <v>0</v>
      </c>
      <c r="I17" s="249">
        <v>0</v>
      </c>
      <c r="J17" s="249">
        <v>0</v>
      </c>
      <c r="K17" s="249">
        <v>0</v>
      </c>
      <c r="L17" s="249">
        <v>0</v>
      </c>
      <c r="M17" s="249">
        <v>0</v>
      </c>
      <c r="N17" s="249">
        <v>0</v>
      </c>
      <c r="O17" s="249">
        <v>0</v>
      </c>
      <c r="P17" s="249">
        <v>0</v>
      </c>
      <c r="Q17" s="249">
        <v>0</v>
      </c>
      <c r="R17" s="249">
        <v>0</v>
      </c>
      <c r="S17" s="249">
        <v>0</v>
      </c>
      <c r="T17" s="249">
        <v>0</v>
      </c>
      <c r="U17" s="249">
        <v>0</v>
      </c>
      <c r="V17" s="249">
        <v>0</v>
      </c>
      <c r="W17" s="249">
        <v>0</v>
      </c>
      <c r="X17" s="249">
        <v>0</v>
      </c>
      <c r="Y17" s="249">
        <v>0</v>
      </c>
      <c r="Z17" s="249">
        <v>0</v>
      </c>
      <c r="AA17" s="249">
        <v>0</v>
      </c>
      <c r="AB17" s="249">
        <v>0</v>
      </c>
      <c r="AC17" s="250">
        <v>0</v>
      </c>
    </row>
    <row r="18" spans="1:29" ht="12.75" customHeight="1" x14ac:dyDescent="0.2">
      <c r="A18" s="178">
        <v>563</v>
      </c>
      <c r="B18" s="343"/>
      <c r="C18" s="248" t="s">
        <v>897</v>
      </c>
      <c r="D18" s="248" t="s">
        <v>427</v>
      </c>
      <c r="E18" s="88" cm="1">
        <f t="array" ref="E18:AC18">TRANSPOSE(B1_Calculs!P$44:P$68)</f>
        <v>0</v>
      </c>
      <c r="F18" s="249">
        <v>0</v>
      </c>
      <c r="G18" s="249">
        <v>0</v>
      </c>
      <c r="H18" s="249">
        <v>0</v>
      </c>
      <c r="I18" s="249">
        <v>0</v>
      </c>
      <c r="J18" s="249">
        <v>0</v>
      </c>
      <c r="K18" s="249">
        <v>0</v>
      </c>
      <c r="L18" s="249">
        <v>0</v>
      </c>
      <c r="M18" s="249">
        <v>0</v>
      </c>
      <c r="N18" s="249">
        <v>0</v>
      </c>
      <c r="O18" s="249">
        <v>0</v>
      </c>
      <c r="P18" s="249">
        <v>0</v>
      </c>
      <c r="Q18" s="249">
        <v>0</v>
      </c>
      <c r="R18" s="249">
        <v>0</v>
      </c>
      <c r="S18" s="249">
        <v>0</v>
      </c>
      <c r="T18" s="249">
        <v>0</v>
      </c>
      <c r="U18" s="249">
        <v>0</v>
      </c>
      <c r="V18" s="249">
        <v>0</v>
      </c>
      <c r="W18" s="249">
        <v>0</v>
      </c>
      <c r="X18" s="249">
        <v>0</v>
      </c>
      <c r="Y18" s="249">
        <v>0</v>
      </c>
      <c r="Z18" s="249">
        <v>0</v>
      </c>
      <c r="AA18" s="249">
        <v>0</v>
      </c>
      <c r="AB18" s="249">
        <v>0</v>
      </c>
      <c r="AC18" s="250">
        <v>0</v>
      </c>
    </row>
    <row r="19" spans="1:29" ht="12.75" customHeight="1" x14ac:dyDescent="0.2">
      <c r="A19" s="178">
        <v>564</v>
      </c>
      <c r="B19" s="343"/>
      <c r="C19" s="344" t="s">
        <v>898</v>
      </c>
      <c r="D19" s="248" t="s">
        <v>427</v>
      </c>
      <c r="E19" s="88" cm="1">
        <f t="array" ref="E19:AC19">TRANSPOSE(B1_Calculs!Q$44:Q$68)</f>
        <v>0</v>
      </c>
      <c r="F19" s="249">
        <v>0</v>
      </c>
      <c r="G19" s="249">
        <v>0</v>
      </c>
      <c r="H19" s="249">
        <v>0</v>
      </c>
      <c r="I19" s="249">
        <v>0</v>
      </c>
      <c r="J19" s="249">
        <v>0</v>
      </c>
      <c r="K19" s="249">
        <v>0</v>
      </c>
      <c r="L19" s="249">
        <v>0</v>
      </c>
      <c r="M19" s="249">
        <v>0</v>
      </c>
      <c r="N19" s="249">
        <v>0</v>
      </c>
      <c r="O19" s="249">
        <v>0</v>
      </c>
      <c r="P19" s="249">
        <v>0</v>
      </c>
      <c r="Q19" s="249">
        <v>0</v>
      </c>
      <c r="R19" s="249">
        <v>0</v>
      </c>
      <c r="S19" s="249">
        <v>0</v>
      </c>
      <c r="T19" s="249">
        <v>0</v>
      </c>
      <c r="U19" s="249">
        <v>0</v>
      </c>
      <c r="V19" s="249">
        <v>0</v>
      </c>
      <c r="W19" s="249">
        <v>0</v>
      </c>
      <c r="X19" s="249">
        <v>0</v>
      </c>
      <c r="Y19" s="249">
        <v>0</v>
      </c>
      <c r="Z19" s="249">
        <v>0</v>
      </c>
      <c r="AA19" s="249">
        <v>0</v>
      </c>
      <c r="AB19" s="249">
        <v>0</v>
      </c>
      <c r="AC19" s="250">
        <v>0</v>
      </c>
    </row>
    <row r="20" spans="1:29" ht="12.75" customHeight="1" x14ac:dyDescent="0.2">
      <c r="A20" s="178">
        <v>566</v>
      </c>
      <c r="B20" s="345"/>
      <c r="C20" s="256" t="s">
        <v>899</v>
      </c>
      <c r="D20" s="256" t="s">
        <v>427</v>
      </c>
      <c r="E20" s="258" cm="1">
        <f t="array" ref="E20:AC20">TRANSPOSE(B1_Calculs!R$44:R$68)</f>
        <v>0</v>
      </c>
      <c r="F20" s="259">
        <v>0</v>
      </c>
      <c r="G20" s="259">
        <v>0</v>
      </c>
      <c r="H20" s="259">
        <v>0</v>
      </c>
      <c r="I20" s="259">
        <v>0</v>
      </c>
      <c r="J20" s="259">
        <v>0</v>
      </c>
      <c r="K20" s="259">
        <v>0</v>
      </c>
      <c r="L20" s="259">
        <v>0</v>
      </c>
      <c r="M20" s="259">
        <v>0</v>
      </c>
      <c r="N20" s="259">
        <v>0</v>
      </c>
      <c r="O20" s="259">
        <v>0</v>
      </c>
      <c r="P20" s="259">
        <v>0</v>
      </c>
      <c r="Q20" s="259">
        <v>0</v>
      </c>
      <c r="R20" s="259">
        <v>0</v>
      </c>
      <c r="S20" s="259">
        <v>0</v>
      </c>
      <c r="T20" s="259">
        <v>0</v>
      </c>
      <c r="U20" s="259">
        <v>0</v>
      </c>
      <c r="V20" s="259">
        <v>0</v>
      </c>
      <c r="W20" s="259">
        <v>0</v>
      </c>
      <c r="X20" s="259">
        <v>0</v>
      </c>
      <c r="Y20" s="259">
        <v>0</v>
      </c>
      <c r="Z20" s="259">
        <v>0</v>
      </c>
      <c r="AA20" s="259">
        <v>0</v>
      </c>
      <c r="AB20" s="259">
        <v>0</v>
      </c>
      <c r="AC20" s="260">
        <v>0</v>
      </c>
    </row>
    <row r="21" spans="1:29" s="38" customFormat="1" ht="17.100000000000001" customHeight="1" thickBot="1" x14ac:dyDescent="0.25">
      <c r="A21" s="178">
        <v>569</v>
      </c>
      <c r="B21" s="346" t="s">
        <v>439</v>
      </c>
      <c r="C21" s="257"/>
      <c r="D21" s="257" t="s">
        <v>427</v>
      </c>
      <c r="E21" s="261">
        <f>SUM(E16:E20)</f>
        <v>0</v>
      </c>
      <c r="F21" s="261">
        <f t="shared" ref="F21:AC21" si="0">SUM(F16:F20)</f>
        <v>60064.7</v>
      </c>
      <c r="G21" s="261">
        <f t="shared" si="0"/>
        <v>210542.51429950001</v>
      </c>
      <c r="H21" s="261">
        <f t="shared" si="0"/>
        <v>326410.46694780339</v>
      </c>
      <c r="I21" s="261">
        <f t="shared" si="0"/>
        <v>371787.51373451087</v>
      </c>
      <c r="J21" s="261">
        <f t="shared" si="0"/>
        <v>373261.05682915112</v>
      </c>
      <c r="K21" s="261">
        <f t="shared" si="0"/>
        <v>374749.55978794215</v>
      </c>
      <c r="L21" s="261">
        <f t="shared" si="0"/>
        <v>376253.17218708189</v>
      </c>
      <c r="M21" s="261">
        <f t="shared" si="0"/>
        <v>389193.84492877685</v>
      </c>
      <c r="N21" s="261">
        <f t="shared" si="0"/>
        <v>402247.17176531558</v>
      </c>
      <c r="O21" s="261">
        <f t="shared" si="0"/>
        <v>403895.25150461751</v>
      </c>
      <c r="P21" s="261">
        <f t="shared" si="0"/>
        <v>405560.04948051029</v>
      </c>
      <c r="Q21" s="261">
        <f t="shared" si="0"/>
        <v>407241.73285161599</v>
      </c>
      <c r="R21" s="261">
        <f t="shared" si="0"/>
        <v>408940.47044814506</v>
      </c>
      <c r="S21" s="261">
        <f t="shared" si="0"/>
        <v>410656.43278861267</v>
      </c>
      <c r="T21" s="261">
        <f t="shared" si="0"/>
        <v>412389.79209672124</v>
      </c>
      <c r="U21" s="261">
        <f t="shared" si="0"/>
        <v>414140.72231841303</v>
      </c>
      <c r="V21" s="261">
        <f t="shared" si="0"/>
        <v>415909.39913909161</v>
      </c>
      <c r="W21" s="261">
        <f t="shared" si="0"/>
        <v>417696.00000101724</v>
      </c>
      <c r="X21" s="261">
        <f t="shared" si="0"/>
        <v>419500.70412087499</v>
      </c>
      <c r="Y21" s="261">
        <f t="shared" si="0"/>
        <v>421323.69250751939</v>
      </c>
      <c r="Z21" s="261">
        <f t="shared" si="0"/>
        <v>423165.14797989564</v>
      </c>
      <c r="AA21" s="261">
        <f t="shared" si="0"/>
        <v>425025.255185141</v>
      </c>
      <c r="AB21" s="261">
        <f t="shared" si="0"/>
        <v>426904.20061686623</v>
      </c>
      <c r="AC21" s="262">
        <f t="shared" si="0"/>
        <v>428802.17263362079</v>
      </c>
    </row>
    <row r="22" spans="1:29" s="38" customFormat="1" ht="12.75" customHeight="1" thickTop="1" x14ac:dyDescent="0.2">
      <c r="A22" s="178"/>
      <c r="B22" s="5"/>
      <c r="C22" s="5"/>
      <c r="D22" s="5"/>
      <c r="E22" s="41"/>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row>
    <row r="23" spans="1:29" ht="12.75" customHeight="1" x14ac:dyDescent="0.2">
      <c r="A23" s="178"/>
      <c r="B23" s="5" t="s">
        <v>395</v>
      </c>
      <c r="D23" s="212"/>
      <c r="E23" s="268" cm="1">
        <f t="array" ref="E23:AC23">TRANSPOSE(B1_Calculs!B$44:B$68)</f>
        <v>2024</v>
      </c>
      <c r="F23" s="266">
        <v>2025</v>
      </c>
      <c r="G23" s="266">
        <v>2026</v>
      </c>
      <c r="H23" s="266">
        <v>2027</v>
      </c>
      <c r="I23" s="266">
        <v>2028</v>
      </c>
      <c r="J23" s="266">
        <v>2029</v>
      </c>
      <c r="K23" s="266">
        <v>2030</v>
      </c>
      <c r="L23" s="266">
        <v>2031</v>
      </c>
      <c r="M23" s="266">
        <v>2032</v>
      </c>
      <c r="N23" s="266">
        <v>2033</v>
      </c>
      <c r="O23" s="266">
        <v>2034</v>
      </c>
      <c r="P23" s="266">
        <v>2035</v>
      </c>
      <c r="Q23" s="266">
        <v>2036</v>
      </c>
      <c r="R23" s="266">
        <v>2037</v>
      </c>
      <c r="S23" s="266">
        <v>2038</v>
      </c>
      <c r="T23" s="266">
        <v>2039</v>
      </c>
      <c r="U23" s="266">
        <v>2040</v>
      </c>
      <c r="V23" s="266">
        <v>2041</v>
      </c>
      <c r="W23" s="266">
        <v>2042</v>
      </c>
      <c r="X23" s="266">
        <v>2043</v>
      </c>
      <c r="Y23" s="266">
        <v>2044</v>
      </c>
      <c r="Z23" s="266">
        <v>2045</v>
      </c>
      <c r="AA23" s="266">
        <v>2046</v>
      </c>
      <c r="AB23" s="266">
        <v>2047</v>
      </c>
      <c r="AC23" s="267">
        <v>2048</v>
      </c>
    </row>
    <row r="24" spans="1:29" ht="12.75" customHeight="1" x14ac:dyDescent="0.2">
      <c r="A24" s="178" t="s">
        <v>141</v>
      </c>
      <c r="B24" s="347" t="s">
        <v>440</v>
      </c>
      <c r="C24" s="255" t="s">
        <v>900</v>
      </c>
      <c r="D24" s="255" t="s">
        <v>427</v>
      </c>
      <c r="E24" s="269" cm="1">
        <f t="array" ref="E24:AC24">TRANSPOSE(B1_Calculs!U$44:U$68)</f>
        <v>0</v>
      </c>
      <c r="F24" s="270">
        <v>17396.593499999999</v>
      </c>
      <c r="G24" s="270">
        <v>57960.545040832498</v>
      </c>
      <c r="H24" s="270">
        <v>87679.135442186729</v>
      </c>
      <c r="I24" s="270">
        <v>99130.837749833314</v>
      </c>
      <c r="J24" s="270">
        <v>99120.924666058316</v>
      </c>
      <c r="K24" s="270">
        <v>99111.012573591739</v>
      </c>
      <c r="L24" s="270">
        <v>99101.101472334354</v>
      </c>
      <c r="M24" s="270">
        <v>101988.59461839145</v>
      </c>
      <c r="N24" s="270">
        <v>104875.5092748083</v>
      </c>
      <c r="O24" s="270">
        <v>104865.02172388081</v>
      </c>
      <c r="P24" s="270">
        <v>104854.5352217084</v>
      </c>
      <c r="Q24" s="270">
        <v>104844.0497681862</v>
      </c>
      <c r="R24" s="270">
        <v>104833.5653632094</v>
      </c>
      <c r="S24" s="270">
        <v>104823.0820066731</v>
      </c>
      <c r="T24" s="270">
        <v>104812.5996984724</v>
      </c>
      <c r="U24" s="270">
        <v>104802.11843850258</v>
      </c>
      <c r="V24" s="270">
        <v>104791.63822665878</v>
      </c>
      <c r="W24" s="270">
        <v>104781.15906283609</v>
      </c>
      <c r="X24" s="270">
        <v>104770.68094692977</v>
      </c>
      <c r="Y24" s="270">
        <v>104760.20387883509</v>
      </c>
      <c r="Z24" s="270">
        <v>104749.72785844721</v>
      </c>
      <c r="AA24" s="270">
        <v>104739.25288566135</v>
      </c>
      <c r="AB24" s="270">
        <v>104728.77896037277</v>
      </c>
      <c r="AC24" s="271">
        <v>104718.30608247679</v>
      </c>
    </row>
    <row r="25" spans="1:29" s="31" customFormat="1" ht="12.75" customHeight="1" x14ac:dyDescent="0.2">
      <c r="A25" s="178" t="s">
        <v>142</v>
      </c>
      <c r="B25" s="343"/>
      <c r="C25" s="248" t="s">
        <v>901</v>
      </c>
      <c r="D25" s="248" t="s">
        <v>427</v>
      </c>
      <c r="E25" s="88" cm="1">
        <f t="array" ref="E25:AC25">TRANSPOSE(B1_Calculs!V$44:V$68)</f>
        <v>0</v>
      </c>
      <c r="F25" s="249">
        <v>0</v>
      </c>
      <c r="G25" s="249">
        <v>0</v>
      </c>
      <c r="H25" s="249">
        <v>0</v>
      </c>
      <c r="I25" s="249">
        <v>0</v>
      </c>
      <c r="J25" s="249">
        <v>0</v>
      </c>
      <c r="K25" s="249">
        <v>0</v>
      </c>
      <c r="L25" s="249">
        <v>0</v>
      </c>
      <c r="M25" s="249">
        <v>0</v>
      </c>
      <c r="N25" s="249">
        <v>0</v>
      </c>
      <c r="O25" s="249">
        <v>0</v>
      </c>
      <c r="P25" s="249">
        <v>0</v>
      </c>
      <c r="Q25" s="249">
        <v>0</v>
      </c>
      <c r="R25" s="249">
        <v>0</v>
      </c>
      <c r="S25" s="249">
        <v>0</v>
      </c>
      <c r="T25" s="249">
        <v>0</v>
      </c>
      <c r="U25" s="249">
        <v>0</v>
      </c>
      <c r="V25" s="249">
        <v>0</v>
      </c>
      <c r="W25" s="272">
        <v>0</v>
      </c>
      <c r="X25" s="272">
        <v>0</v>
      </c>
      <c r="Y25" s="272">
        <v>0</v>
      </c>
      <c r="Z25" s="272">
        <v>0</v>
      </c>
      <c r="AA25" s="272">
        <v>0</v>
      </c>
      <c r="AB25" s="272">
        <v>0</v>
      </c>
      <c r="AC25" s="273">
        <v>0</v>
      </c>
    </row>
    <row r="26" spans="1:29" s="31" customFormat="1" ht="12.75" customHeight="1" x14ac:dyDescent="0.2">
      <c r="A26" s="178" t="s">
        <v>143</v>
      </c>
      <c r="B26" s="343"/>
      <c r="C26" s="248" t="s">
        <v>902</v>
      </c>
      <c r="D26" s="248" t="s">
        <v>427</v>
      </c>
      <c r="E26" s="88" cm="1">
        <f t="array" ref="E26:AC26">TRANSPOSE(B1_Calculs!W$44:W$68)</f>
        <v>0</v>
      </c>
      <c r="F26" s="249">
        <v>0</v>
      </c>
      <c r="G26" s="249">
        <v>0</v>
      </c>
      <c r="H26" s="249">
        <v>0</v>
      </c>
      <c r="I26" s="249">
        <v>0</v>
      </c>
      <c r="J26" s="249">
        <v>0</v>
      </c>
      <c r="K26" s="249">
        <v>0</v>
      </c>
      <c r="L26" s="249">
        <v>0</v>
      </c>
      <c r="M26" s="249">
        <v>0</v>
      </c>
      <c r="N26" s="249">
        <v>0</v>
      </c>
      <c r="O26" s="249">
        <v>0</v>
      </c>
      <c r="P26" s="249">
        <v>0</v>
      </c>
      <c r="Q26" s="249">
        <v>0</v>
      </c>
      <c r="R26" s="249">
        <v>0</v>
      </c>
      <c r="S26" s="249">
        <v>0</v>
      </c>
      <c r="T26" s="249">
        <v>0</v>
      </c>
      <c r="U26" s="249">
        <v>0</v>
      </c>
      <c r="V26" s="249">
        <v>0</v>
      </c>
      <c r="W26" s="272">
        <v>0</v>
      </c>
      <c r="X26" s="272">
        <v>0</v>
      </c>
      <c r="Y26" s="272">
        <v>0</v>
      </c>
      <c r="Z26" s="272">
        <v>0</v>
      </c>
      <c r="AA26" s="272">
        <v>0</v>
      </c>
      <c r="AB26" s="272">
        <v>0</v>
      </c>
      <c r="AC26" s="273">
        <v>0</v>
      </c>
    </row>
    <row r="27" spans="1:29" s="31" customFormat="1" ht="12.75" customHeight="1" x14ac:dyDescent="0.2">
      <c r="A27" s="178" t="s">
        <v>144</v>
      </c>
      <c r="B27" s="343"/>
      <c r="C27" s="248" t="s">
        <v>903</v>
      </c>
      <c r="D27" s="248" t="s">
        <v>427</v>
      </c>
      <c r="E27" s="88" cm="1">
        <f t="array" ref="E27:AC27">TRANSPOSE(B1_Calculs!X$44:X$68)</f>
        <v>0</v>
      </c>
      <c r="F27" s="249">
        <v>0</v>
      </c>
      <c r="G27" s="249">
        <v>0</v>
      </c>
      <c r="H27" s="249">
        <v>0</v>
      </c>
      <c r="I27" s="249">
        <v>0</v>
      </c>
      <c r="J27" s="249">
        <v>0</v>
      </c>
      <c r="K27" s="249">
        <v>0</v>
      </c>
      <c r="L27" s="249">
        <v>0</v>
      </c>
      <c r="M27" s="249">
        <v>0</v>
      </c>
      <c r="N27" s="249">
        <v>0</v>
      </c>
      <c r="O27" s="249">
        <v>0</v>
      </c>
      <c r="P27" s="249">
        <v>0</v>
      </c>
      <c r="Q27" s="249">
        <v>0</v>
      </c>
      <c r="R27" s="249">
        <v>0</v>
      </c>
      <c r="S27" s="249">
        <v>0</v>
      </c>
      <c r="T27" s="249">
        <v>0</v>
      </c>
      <c r="U27" s="249">
        <v>0</v>
      </c>
      <c r="V27" s="249">
        <v>0</v>
      </c>
      <c r="W27" s="272">
        <v>0</v>
      </c>
      <c r="X27" s="272">
        <v>0</v>
      </c>
      <c r="Y27" s="272">
        <v>0</v>
      </c>
      <c r="Z27" s="272">
        <v>0</v>
      </c>
      <c r="AA27" s="272">
        <v>0</v>
      </c>
      <c r="AB27" s="272">
        <v>0</v>
      </c>
      <c r="AC27" s="273">
        <v>0</v>
      </c>
    </row>
    <row r="28" spans="1:29" s="31" customFormat="1" ht="12.75" customHeight="1" x14ac:dyDescent="0.2">
      <c r="A28" s="178" t="s">
        <v>145</v>
      </c>
      <c r="B28" s="343"/>
      <c r="C28" s="248" t="s">
        <v>904</v>
      </c>
      <c r="D28" s="248" t="s">
        <v>427</v>
      </c>
      <c r="E28" s="88" cm="1">
        <f t="array" ref="E28:AC28">TRANSPOSE(B1_Calculs!Y$44:Y$68)</f>
        <v>0</v>
      </c>
      <c r="F28" s="249">
        <v>0</v>
      </c>
      <c r="G28" s="249">
        <v>0</v>
      </c>
      <c r="H28" s="249">
        <v>0</v>
      </c>
      <c r="I28" s="249">
        <v>0</v>
      </c>
      <c r="J28" s="249">
        <v>0</v>
      </c>
      <c r="K28" s="249">
        <v>0</v>
      </c>
      <c r="L28" s="249">
        <v>0</v>
      </c>
      <c r="M28" s="249">
        <v>0</v>
      </c>
      <c r="N28" s="249">
        <v>0</v>
      </c>
      <c r="O28" s="249">
        <v>0</v>
      </c>
      <c r="P28" s="249">
        <v>0</v>
      </c>
      <c r="Q28" s="249">
        <v>0</v>
      </c>
      <c r="R28" s="249">
        <v>0</v>
      </c>
      <c r="S28" s="249">
        <v>0</v>
      </c>
      <c r="T28" s="249">
        <v>0</v>
      </c>
      <c r="U28" s="249">
        <v>0</v>
      </c>
      <c r="V28" s="249">
        <v>0</v>
      </c>
      <c r="W28" s="272">
        <v>0</v>
      </c>
      <c r="X28" s="272">
        <v>0</v>
      </c>
      <c r="Y28" s="272">
        <v>0</v>
      </c>
      <c r="Z28" s="272">
        <v>0</v>
      </c>
      <c r="AA28" s="272">
        <v>0</v>
      </c>
      <c r="AB28" s="272">
        <v>0</v>
      </c>
      <c r="AC28" s="273">
        <v>0</v>
      </c>
    </row>
    <row r="29" spans="1:29" s="31" customFormat="1" ht="12.75" customHeight="1" x14ac:dyDescent="0.2">
      <c r="A29" s="178" t="s">
        <v>146</v>
      </c>
      <c r="B29" s="343"/>
      <c r="C29" s="248" t="s">
        <v>905</v>
      </c>
      <c r="D29" s="248" t="s">
        <v>427</v>
      </c>
      <c r="E29" s="88" cm="1">
        <f t="array" ref="E29:AC29">TRANSPOSE(B1_Calculs!Z$44:Z$68)</f>
        <v>0</v>
      </c>
      <c r="F29" s="249">
        <v>5701.1842105263158</v>
      </c>
      <c r="G29" s="249">
        <v>18994.738494078949</v>
      </c>
      <c r="H29" s="249">
        <v>28734.06811371394</v>
      </c>
      <c r="I29" s="249">
        <v>32487.001949869998</v>
      </c>
      <c r="J29" s="249">
        <v>32483.75324967501</v>
      </c>
      <c r="K29" s="249">
        <v>32480.504874350048</v>
      </c>
      <c r="L29" s="249">
        <v>32477.256823862608</v>
      </c>
      <c r="M29" s="249">
        <v>33423.54152795158</v>
      </c>
      <c r="N29" s="249">
        <v>34369.636650327157</v>
      </c>
      <c r="O29" s="249">
        <v>34366.199686662127</v>
      </c>
      <c r="P29" s="249">
        <v>34362.763066693456</v>
      </c>
      <c r="Q29" s="249">
        <v>34359.326790386782</v>
      </c>
      <c r="R29" s="249">
        <v>34355.890857707738</v>
      </c>
      <c r="S29" s="249">
        <v>34352.455268621976</v>
      </c>
      <c r="T29" s="249">
        <v>34349.020023095109</v>
      </c>
      <c r="U29" s="249">
        <v>34345.585121092809</v>
      </c>
      <c r="V29" s="249">
        <v>34342.150562580711</v>
      </c>
      <c r="W29" s="272">
        <v>34338.716347524445</v>
      </c>
      <c r="X29" s="272">
        <v>34335.282475889682</v>
      </c>
      <c r="Y29" s="272">
        <v>34331.848947642095</v>
      </c>
      <c r="Z29" s="272">
        <v>34328.415762747332</v>
      </c>
      <c r="AA29" s="272">
        <v>34324.98292117106</v>
      </c>
      <c r="AB29" s="272">
        <v>34321.550422878936</v>
      </c>
      <c r="AC29" s="273">
        <v>34318.11826783666</v>
      </c>
    </row>
    <row r="30" spans="1:29" s="31" customFormat="1" ht="12.75" customHeight="1" x14ac:dyDescent="0.2">
      <c r="A30" s="178" t="s">
        <v>147</v>
      </c>
      <c r="B30" s="345"/>
      <c r="C30" s="256" t="s">
        <v>906</v>
      </c>
      <c r="D30" s="256" t="s">
        <v>427</v>
      </c>
      <c r="E30" s="258" cm="1">
        <f t="array" ref="E30:AC30">TRANSPOSE(B1_Calculs!AA$44:AA$68)</f>
        <v>0</v>
      </c>
      <c r="F30" s="259">
        <v>2166.4499999999998</v>
      </c>
      <c r="G30" s="259">
        <v>7218.0006277500006</v>
      </c>
      <c r="H30" s="259">
        <v>10918.945883211298</v>
      </c>
      <c r="I30" s="259">
        <v>12345.060740950599</v>
      </c>
      <c r="J30" s="259">
        <v>12343.826234876506</v>
      </c>
      <c r="K30" s="259">
        <v>12342.591852253021</v>
      </c>
      <c r="L30" s="259">
        <v>12341.357593067791</v>
      </c>
      <c r="M30" s="259">
        <v>12700.9457806216</v>
      </c>
      <c r="N30" s="259">
        <v>13060.461927124321</v>
      </c>
      <c r="O30" s="259">
        <v>13059.155880931608</v>
      </c>
      <c r="P30" s="259">
        <v>13057.849965343512</v>
      </c>
      <c r="Q30" s="259">
        <v>13056.544180346977</v>
      </c>
      <c r="R30" s="259">
        <v>13055.238525928942</v>
      </c>
      <c r="S30" s="259">
        <v>13053.93300207635</v>
      </c>
      <c r="T30" s="259">
        <v>13052.627608776142</v>
      </c>
      <c r="U30" s="259">
        <v>13051.322346015268</v>
      </c>
      <c r="V30" s="259">
        <v>13050.017213780668</v>
      </c>
      <c r="W30" s="274">
        <v>13048.712212059289</v>
      </c>
      <c r="X30" s="274">
        <v>13047.407340838079</v>
      </c>
      <c r="Y30" s="274">
        <v>13046.102600103995</v>
      </c>
      <c r="Z30" s="274">
        <v>13044.797989843986</v>
      </c>
      <c r="AA30" s="274">
        <v>13043.493510045</v>
      </c>
      <c r="AB30" s="274">
        <v>13042.189160693995</v>
      </c>
      <c r="AC30" s="275">
        <v>13040.884941777933</v>
      </c>
    </row>
    <row r="31" spans="1:29" s="46" customFormat="1" ht="17.100000000000001" customHeight="1" thickBot="1" x14ac:dyDescent="0.25">
      <c r="A31" s="178">
        <v>710</v>
      </c>
      <c r="B31" s="348" t="s">
        <v>895</v>
      </c>
      <c r="C31" s="247"/>
      <c r="D31" s="247" t="s">
        <v>427</v>
      </c>
      <c r="E31" s="276">
        <f>E21-SUM(E24:E30)</f>
        <v>0</v>
      </c>
      <c r="F31" s="276">
        <f t="shared" ref="F31:AC31" si="1">F21-SUM(F24:F30)</f>
        <v>34800.472289473677</v>
      </c>
      <c r="G31" s="276">
        <f t="shared" si="1"/>
        <v>126369.23013683855</v>
      </c>
      <c r="H31" s="276">
        <f t="shared" si="1"/>
        <v>199078.31750869143</v>
      </c>
      <c r="I31" s="276">
        <f t="shared" si="1"/>
        <v>227824.61329385694</v>
      </c>
      <c r="J31" s="276">
        <f t="shared" si="1"/>
        <v>229312.55267854128</v>
      </c>
      <c r="K31" s="276">
        <f t="shared" si="1"/>
        <v>230815.45048774735</v>
      </c>
      <c r="L31" s="276">
        <f t="shared" si="1"/>
        <v>232333.45629781712</v>
      </c>
      <c r="M31" s="276">
        <f t="shared" si="1"/>
        <v>241080.76300181221</v>
      </c>
      <c r="N31" s="276">
        <f t="shared" si="1"/>
        <v>249941.56391305578</v>
      </c>
      <c r="O31" s="276">
        <f t="shared" si="1"/>
        <v>251604.87421314296</v>
      </c>
      <c r="P31" s="276">
        <f t="shared" si="1"/>
        <v>253284.90122676492</v>
      </c>
      <c r="Q31" s="276">
        <f t="shared" si="1"/>
        <v>254981.81211269603</v>
      </c>
      <c r="R31" s="276">
        <f t="shared" si="1"/>
        <v>256695.77570129899</v>
      </c>
      <c r="S31" s="276">
        <f t="shared" si="1"/>
        <v>258426.96251124126</v>
      </c>
      <c r="T31" s="276">
        <f t="shared" si="1"/>
        <v>260175.54476637757</v>
      </c>
      <c r="U31" s="276">
        <f t="shared" si="1"/>
        <v>261941.69641280235</v>
      </c>
      <c r="V31" s="276">
        <f t="shared" si="1"/>
        <v>263725.59313607146</v>
      </c>
      <c r="W31" s="276">
        <f t="shared" si="1"/>
        <v>265527.41237859742</v>
      </c>
      <c r="X31" s="276">
        <f t="shared" si="1"/>
        <v>267347.33335721749</v>
      </c>
      <c r="Y31" s="276">
        <f t="shared" si="1"/>
        <v>269185.53708093823</v>
      </c>
      <c r="Z31" s="276">
        <f t="shared" si="1"/>
        <v>271042.20636885712</v>
      </c>
      <c r="AA31" s="276">
        <f t="shared" si="1"/>
        <v>272917.52586826356</v>
      </c>
      <c r="AB31" s="276">
        <f t="shared" si="1"/>
        <v>274811.68207292049</v>
      </c>
      <c r="AC31" s="277">
        <f t="shared" si="1"/>
        <v>276724.86334152939</v>
      </c>
    </row>
    <row r="32" spans="1:29" s="31" customFormat="1" ht="12.75" customHeight="1" x14ac:dyDescent="0.2">
      <c r="A32" s="178" t="s">
        <v>148</v>
      </c>
      <c r="B32" s="251" t="s">
        <v>892</v>
      </c>
      <c r="C32" s="209" t="s">
        <v>891</v>
      </c>
      <c r="D32" s="209" t="s">
        <v>427</v>
      </c>
      <c r="E32" s="252" cm="1">
        <f t="array" ref="E32:AC32">TRANSPOSE(B1_Calculs!AB$44:AB$68)</f>
        <v>0</v>
      </c>
      <c r="F32" s="253">
        <v>22411.9</v>
      </c>
      <c r="G32" s="253">
        <v>25869.736000000001</v>
      </c>
      <c r="H32" s="253">
        <v>26128.433359999995</v>
      </c>
      <c r="I32" s="253">
        <v>26389.717693600003</v>
      </c>
      <c r="J32" s="253">
        <v>26653.614870536003</v>
      </c>
      <c r="K32" s="253">
        <v>33650.188774051705</v>
      </c>
      <c r="L32" s="253">
        <v>33986.690661792207</v>
      </c>
      <c r="M32" s="253">
        <v>34326.557568410142</v>
      </c>
      <c r="N32" s="253">
        <v>34669.823144094247</v>
      </c>
      <c r="O32" s="253">
        <v>35016.521375535187</v>
      </c>
      <c r="P32" s="253">
        <v>35366.686589290533</v>
      </c>
      <c r="Q32" s="253">
        <v>35720.353455183445</v>
      </c>
      <c r="R32" s="253">
        <v>36077.556989735283</v>
      </c>
      <c r="S32" s="253">
        <v>36438.332559632632</v>
      </c>
      <c r="T32" s="253">
        <v>36802.71588522895</v>
      </c>
      <c r="U32" s="253">
        <v>37170.743044081246</v>
      </c>
      <c r="V32" s="253">
        <v>37542.450474522062</v>
      </c>
      <c r="W32" s="278">
        <v>37917.87497926729</v>
      </c>
      <c r="X32" s="278">
        <v>38297.053729059953</v>
      </c>
      <c r="Y32" s="278">
        <v>38680.024266350556</v>
      </c>
      <c r="Z32" s="278">
        <v>39066.824509014055</v>
      </c>
      <c r="AA32" s="278">
        <v>39457.492754104213</v>
      </c>
      <c r="AB32" s="278">
        <v>39852.067681645247</v>
      </c>
      <c r="AC32" s="279">
        <v>40250.588358461704</v>
      </c>
    </row>
    <row r="33" spans="1:29" s="31" customFormat="1" ht="12.75" customHeight="1" x14ac:dyDescent="0.2">
      <c r="A33" s="178" t="s">
        <v>149</v>
      </c>
      <c r="B33" s="343"/>
      <c r="C33" s="248" t="s">
        <v>406</v>
      </c>
      <c r="D33" s="248" t="s">
        <v>427</v>
      </c>
      <c r="E33" s="88" cm="1">
        <f t="array" ref="E33:AC33">TRANSPOSE(B1_Calculs!AC$44:AC$68)</f>
        <v>0</v>
      </c>
      <c r="F33" s="249">
        <v>31956.400000000001</v>
      </c>
      <c r="G33" s="249">
        <v>36886.815999999999</v>
      </c>
      <c r="H33" s="249">
        <v>37255.684159999997</v>
      </c>
      <c r="I33" s="249">
        <v>37628.241001599999</v>
      </c>
      <c r="J33" s="249">
        <v>38004.523411615992</v>
      </c>
      <c r="K33" s="249">
        <v>47980.710807165204</v>
      </c>
      <c r="L33" s="249">
        <v>48460.517915236851</v>
      </c>
      <c r="M33" s="249">
        <v>48945.123094389237</v>
      </c>
      <c r="N33" s="249">
        <v>49434.574325333124</v>
      </c>
      <c r="O33" s="249">
        <v>49928.920068586456</v>
      </c>
      <c r="P33" s="249">
        <v>50428.209269272309</v>
      </c>
      <c r="Q33" s="249">
        <v>50932.491361965032</v>
      </c>
      <c r="R33" s="249">
        <v>51441.816275584686</v>
      </c>
      <c r="S33" s="249">
        <v>51956.234438340536</v>
      </c>
      <c r="T33" s="249">
        <v>52475.796782723926</v>
      </c>
      <c r="U33" s="249">
        <v>53000.554750551193</v>
      </c>
      <c r="V33" s="249">
        <v>53530.560298056698</v>
      </c>
      <c r="W33" s="272">
        <v>54065.865901037265</v>
      </c>
      <c r="X33" s="272">
        <v>54606.524560047634</v>
      </c>
      <c r="Y33" s="272">
        <v>55152.589805648109</v>
      </c>
      <c r="Z33" s="272">
        <v>55704.115703704578</v>
      </c>
      <c r="AA33" s="272">
        <v>56261.156860741648</v>
      </c>
      <c r="AB33" s="272">
        <v>56823.768429349053</v>
      </c>
      <c r="AC33" s="273">
        <v>57392.006113642557</v>
      </c>
    </row>
    <row r="34" spans="1:29" s="31" customFormat="1" ht="12.75" customHeight="1" x14ac:dyDescent="0.2">
      <c r="A34" s="178">
        <v>575</v>
      </c>
      <c r="B34" s="343"/>
      <c r="C34" s="344" t="s">
        <v>893</v>
      </c>
      <c r="D34" s="248" t="s">
        <v>427</v>
      </c>
      <c r="E34" s="88" cm="1">
        <f t="array" ref="E34:AC34">TRANSPOSE(B1_Calculs!AD$44:AD$68)</f>
        <v>34600</v>
      </c>
      <c r="F34" s="249">
        <v>34946</v>
      </c>
      <c r="G34" s="249">
        <v>35295.46</v>
      </c>
      <c r="H34" s="249">
        <v>35648.414599999996</v>
      </c>
      <c r="I34" s="249">
        <v>36004.898746000006</v>
      </c>
      <c r="J34" s="249">
        <v>36364.947733460001</v>
      </c>
      <c r="K34" s="249">
        <v>36728.597210794607</v>
      </c>
      <c r="L34" s="249">
        <v>37095.883182902544</v>
      </c>
      <c r="M34" s="249">
        <v>37466.842014731577</v>
      </c>
      <c r="N34" s="249">
        <v>37841.510434878895</v>
      </c>
      <c r="O34" s="249">
        <v>38219.925539227683</v>
      </c>
      <c r="P34" s="249">
        <v>38602.124794619951</v>
      </c>
      <c r="Q34" s="249">
        <v>38988.14604256615</v>
      </c>
      <c r="R34" s="249">
        <v>39378.027502991819</v>
      </c>
      <c r="S34" s="249">
        <v>39771.807778021743</v>
      </c>
      <c r="T34" s="249">
        <v>40169.525855801949</v>
      </c>
      <c r="U34" s="249">
        <v>40571.221114359978</v>
      </c>
      <c r="V34" s="249">
        <v>40976.933325503574</v>
      </c>
      <c r="W34" s="272">
        <v>41386.702658758615</v>
      </c>
      <c r="X34" s="272">
        <v>41800.569685346192</v>
      </c>
      <c r="Y34" s="272">
        <v>42218.575382199662</v>
      </c>
      <c r="Z34" s="272">
        <v>42640.761136021654</v>
      </c>
      <c r="AA34" s="272">
        <v>43067.168747381875</v>
      </c>
      <c r="AB34" s="272">
        <v>43497.840434855687</v>
      </c>
      <c r="AC34" s="273">
        <v>43932.818839204265</v>
      </c>
    </row>
    <row r="35" spans="1:29" s="31" customFormat="1" ht="12.75" customHeight="1" x14ac:dyDescent="0.2">
      <c r="A35" s="178">
        <v>576</v>
      </c>
      <c r="B35" s="345"/>
      <c r="C35" s="256" t="s">
        <v>894</v>
      </c>
      <c r="D35" s="256" t="s">
        <v>427</v>
      </c>
      <c r="E35" s="258" cm="1">
        <f t="array" ref="E35:AC35">TRANSPOSE(B1_Calculs!AE$44:AE$68)</f>
        <v>0</v>
      </c>
      <c r="F35" s="259">
        <v>0</v>
      </c>
      <c r="G35" s="259">
        <v>0</v>
      </c>
      <c r="H35" s="259">
        <v>0</v>
      </c>
      <c r="I35" s="259">
        <v>0</v>
      </c>
      <c r="J35" s="259">
        <v>0</v>
      </c>
      <c r="K35" s="259">
        <v>0</v>
      </c>
      <c r="L35" s="259">
        <v>0</v>
      </c>
      <c r="M35" s="259">
        <v>0</v>
      </c>
      <c r="N35" s="259">
        <v>0</v>
      </c>
      <c r="O35" s="259">
        <v>0</v>
      </c>
      <c r="P35" s="259">
        <v>0</v>
      </c>
      <c r="Q35" s="259">
        <v>0</v>
      </c>
      <c r="R35" s="259">
        <v>0</v>
      </c>
      <c r="S35" s="259">
        <v>0</v>
      </c>
      <c r="T35" s="259">
        <v>0</v>
      </c>
      <c r="U35" s="259">
        <v>0</v>
      </c>
      <c r="V35" s="259">
        <v>0</v>
      </c>
      <c r="W35" s="274">
        <v>0</v>
      </c>
      <c r="X35" s="274">
        <v>0</v>
      </c>
      <c r="Y35" s="274">
        <v>0</v>
      </c>
      <c r="Z35" s="274">
        <v>0</v>
      </c>
      <c r="AA35" s="274">
        <v>0</v>
      </c>
      <c r="AB35" s="274">
        <v>0</v>
      </c>
      <c r="AC35" s="275">
        <v>0</v>
      </c>
    </row>
    <row r="36" spans="1:29" s="31" customFormat="1" ht="17.100000000000001" customHeight="1" thickBot="1" x14ac:dyDescent="0.25">
      <c r="A36" s="178">
        <v>711</v>
      </c>
      <c r="B36" s="348" t="s">
        <v>441</v>
      </c>
      <c r="C36" s="349"/>
      <c r="D36" s="247" t="s">
        <v>427</v>
      </c>
      <c r="E36" s="276">
        <f>E31-SUM(E32:E35)</f>
        <v>-34600</v>
      </c>
      <c r="F36" s="276">
        <f t="shared" ref="F36:AC36" si="2">F31-SUM(F32:F35)</f>
        <v>-54513.827710526326</v>
      </c>
      <c r="G36" s="276">
        <f t="shared" si="2"/>
        <v>28317.218136838565</v>
      </c>
      <c r="H36" s="276">
        <f t="shared" si="2"/>
        <v>100045.78538869144</v>
      </c>
      <c r="I36" s="276">
        <f t="shared" si="2"/>
        <v>127801.75585265693</v>
      </c>
      <c r="J36" s="276">
        <f t="shared" si="2"/>
        <v>128289.46666292928</v>
      </c>
      <c r="K36" s="276">
        <f t="shared" si="2"/>
        <v>112455.95369573584</v>
      </c>
      <c r="L36" s="276">
        <f t="shared" si="2"/>
        <v>112790.36453788551</v>
      </c>
      <c r="M36" s="276">
        <f t="shared" si="2"/>
        <v>120342.24032428126</v>
      </c>
      <c r="N36" s="276">
        <f t="shared" si="2"/>
        <v>127995.6560087495</v>
      </c>
      <c r="O36" s="276">
        <f t="shared" si="2"/>
        <v>128439.50722979363</v>
      </c>
      <c r="P36" s="276">
        <f t="shared" si="2"/>
        <v>128887.88057358214</v>
      </c>
      <c r="Q36" s="276">
        <f t="shared" si="2"/>
        <v>129340.8212529814</v>
      </c>
      <c r="R36" s="276">
        <f t="shared" si="2"/>
        <v>129798.37493298721</v>
      </c>
      <c r="S36" s="276">
        <f t="shared" si="2"/>
        <v>130260.58773524636</v>
      </c>
      <c r="T36" s="276">
        <f t="shared" si="2"/>
        <v>130727.50624262274</v>
      </c>
      <c r="U36" s="276">
        <f t="shared" si="2"/>
        <v>131199.17750380994</v>
      </c>
      <c r="V36" s="276">
        <f t="shared" si="2"/>
        <v>131675.64903798912</v>
      </c>
      <c r="W36" s="276">
        <f t="shared" si="2"/>
        <v>132156.96883953427</v>
      </c>
      <c r="X36" s="276">
        <f t="shared" si="2"/>
        <v>132643.18538276371</v>
      </c>
      <c r="Y36" s="276">
        <f t="shared" si="2"/>
        <v>133134.34762673991</v>
      </c>
      <c r="Z36" s="276">
        <f t="shared" si="2"/>
        <v>133630.50502011683</v>
      </c>
      <c r="AA36" s="276">
        <f t="shared" si="2"/>
        <v>134131.7075060358</v>
      </c>
      <c r="AB36" s="276">
        <f t="shared" si="2"/>
        <v>134638.00552707049</v>
      </c>
      <c r="AC36" s="277">
        <f t="shared" si="2"/>
        <v>135149.45003022085</v>
      </c>
    </row>
    <row r="37" spans="1:29" s="31" customFormat="1" ht="12.75" customHeight="1" x14ac:dyDescent="0.2">
      <c r="A37" s="178">
        <v>585</v>
      </c>
      <c r="B37" s="340"/>
      <c r="C37" s="1" t="s">
        <v>255</v>
      </c>
      <c r="D37" s="1" t="s">
        <v>427</v>
      </c>
      <c r="E37" s="280" cm="1">
        <f t="array" ref="E37:AC37">TRANSPOSE(B1_Calculs!AM$44:AM$68)</f>
        <v>0</v>
      </c>
      <c r="F37" s="281">
        <v>0</v>
      </c>
      <c r="G37" s="281">
        <v>80806.03533849513</v>
      </c>
      <c r="H37" s="281">
        <v>80806.03533849513</v>
      </c>
      <c r="I37" s="281">
        <v>80806.03533849513</v>
      </c>
      <c r="J37" s="281">
        <v>80806.03533849513</v>
      </c>
      <c r="K37" s="281">
        <v>101007.54417311892</v>
      </c>
      <c r="L37" s="281">
        <v>101007.54417311892</v>
      </c>
      <c r="M37" s="281">
        <v>101007.54417311892</v>
      </c>
      <c r="N37" s="281">
        <v>101007.54417311892</v>
      </c>
      <c r="O37" s="281">
        <v>101007.54417311892</v>
      </c>
      <c r="P37" s="281">
        <v>101007.54417311892</v>
      </c>
      <c r="Q37" s="281">
        <v>101007.54417311892</v>
      </c>
      <c r="R37" s="281">
        <v>101007.54417311892</v>
      </c>
      <c r="S37" s="281">
        <v>101007.54417311892</v>
      </c>
      <c r="T37" s="281">
        <v>101007.54417311892</v>
      </c>
      <c r="U37" s="281">
        <v>101007.54417311892</v>
      </c>
      <c r="V37" s="281">
        <v>101544.10735768559</v>
      </c>
      <c r="W37" s="282">
        <v>101544.10735768559</v>
      </c>
      <c r="X37" s="282">
        <v>101544.10735768559</v>
      </c>
      <c r="Y37" s="282">
        <v>101544.10735768559</v>
      </c>
      <c r="Z37" s="282">
        <v>101544.10735768559</v>
      </c>
      <c r="AA37" s="282">
        <v>118440.62969333494</v>
      </c>
      <c r="AB37" s="282">
        <v>118440.62969333494</v>
      </c>
      <c r="AC37" s="283">
        <v>118440.62969333494</v>
      </c>
    </row>
    <row r="38" spans="1:29" s="31" customFormat="1" ht="17.100000000000001" customHeight="1" thickBot="1" x14ac:dyDescent="0.25">
      <c r="A38" s="178">
        <v>712</v>
      </c>
      <c r="B38" s="348" t="s">
        <v>442</v>
      </c>
      <c r="C38" s="349"/>
      <c r="D38" s="247" t="s">
        <v>427</v>
      </c>
      <c r="E38" s="276">
        <f>E36-E37</f>
        <v>-34600</v>
      </c>
      <c r="F38" s="276">
        <f t="shared" ref="F38:AC38" si="3">F36-F37</f>
        <v>-54513.827710526326</v>
      </c>
      <c r="G38" s="276">
        <f t="shared" si="3"/>
        <v>-52488.817201656566</v>
      </c>
      <c r="H38" s="276">
        <f t="shared" si="3"/>
        <v>19239.750050196308</v>
      </c>
      <c r="I38" s="276">
        <f t="shared" si="3"/>
        <v>46995.720514161803</v>
      </c>
      <c r="J38" s="276">
        <f t="shared" si="3"/>
        <v>47483.431324434147</v>
      </c>
      <c r="K38" s="276">
        <f t="shared" si="3"/>
        <v>11448.409522616916</v>
      </c>
      <c r="L38" s="276">
        <f t="shared" si="3"/>
        <v>11782.820364766594</v>
      </c>
      <c r="M38" s="276">
        <f t="shared" si="3"/>
        <v>19334.696151162338</v>
      </c>
      <c r="N38" s="276">
        <f t="shared" si="3"/>
        <v>26988.111835630581</v>
      </c>
      <c r="O38" s="276">
        <f t="shared" si="3"/>
        <v>27431.963056674707</v>
      </c>
      <c r="P38" s="276">
        <f t="shared" si="3"/>
        <v>27880.336400463217</v>
      </c>
      <c r="Q38" s="276">
        <f t="shared" si="3"/>
        <v>28333.277079862484</v>
      </c>
      <c r="R38" s="276">
        <f t="shared" si="3"/>
        <v>28790.830759868288</v>
      </c>
      <c r="S38" s="276">
        <f t="shared" si="3"/>
        <v>29253.043562127437</v>
      </c>
      <c r="T38" s="276">
        <f t="shared" si="3"/>
        <v>29719.962069503817</v>
      </c>
      <c r="U38" s="276">
        <f t="shared" si="3"/>
        <v>30191.633330691024</v>
      </c>
      <c r="V38" s="276">
        <f t="shared" si="3"/>
        <v>30131.541680303533</v>
      </c>
      <c r="W38" s="276">
        <f t="shared" si="3"/>
        <v>30612.861481848682</v>
      </c>
      <c r="X38" s="276">
        <f t="shared" si="3"/>
        <v>31099.078025078124</v>
      </c>
      <c r="Y38" s="276">
        <f t="shared" si="3"/>
        <v>31590.240269054324</v>
      </c>
      <c r="Z38" s="276">
        <f t="shared" si="3"/>
        <v>32086.397662431249</v>
      </c>
      <c r="AA38" s="276">
        <f t="shared" si="3"/>
        <v>15691.077812700867</v>
      </c>
      <c r="AB38" s="276">
        <f t="shared" si="3"/>
        <v>16197.375833735554</v>
      </c>
      <c r="AC38" s="277">
        <f t="shared" si="3"/>
        <v>16708.82033688591</v>
      </c>
    </row>
    <row r="39" spans="1:29" s="31" customFormat="1" ht="12.75" customHeight="1" x14ac:dyDescent="0.2">
      <c r="A39" s="178">
        <v>578</v>
      </c>
      <c r="B39" s="350"/>
      <c r="C39" s="209" t="s">
        <v>890</v>
      </c>
      <c r="D39" s="209" t="s">
        <v>427</v>
      </c>
      <c r="E39" s="252" cm="1">
        <f t="array" ref="E39:AC39">TRANSPOSE(B1_Calculs!AG$44:AG$68)</f>
        <v>6270</v>
      </c>
      <c r="F39" s="253">
        <v>33000</v>
      </c>
      <c r="G39" s="253">
        <v>31657.894736842103</v>
      </c>
      <c r="H39" s="253">
        <v>30315.78947368421</v>
      </c>
      <c r="I39" s="253">
        <v>28973.68421052632</v>
      </c>
      <c r="J39" s="253">
        <v>27631.578947368424</v>
      </c>
      <c r="K39" s="253">
        <v>26289.473684210527</v>
      </c>
      <c r="L39" s="253">
        <v>24947.368421052633</v>
      </c>
      <c r="M39" s="253">
        <v>23605.26315789474</v>
      </c>
      <c r="N39" s="253">
        <v>22263.157894736847</v>
      </c>
      <c r="O39" s="253">
        <v>20921.05263157895</v>
      </c>
      <c r="P39" s="253">
        <v>19578.947368421057</v>
      </c>
      <c r="Q39" s="253">
        <v>18236.84210526316</v>
      </c>
      <c r="R39" s="253">
        <v>16894.736842105267</v>
      </c>
      <c r="S39" s="253">
        <v>15552.631578947374</v>
      </c>
      <c r="T39" s="253">
        <v>14210.526315789479</v>
      </c>
      <c r="U39" s="253">
        <v>12868.421052631584</v>
      </c>
      <c r="V39" s="253">
        <v>11526.315789473691</v>
      </c>
      <c r="W39" s="278">
        <v>10184.210526315796</v>
      </c>
      <c r="X39" s="278">
        <v>8842.1052631579005</v>
      </c>
      <c r="Y39" s="278">
        <v>7500.0000000000055</v>
      </c>
      <c r="Z39" s="278">
        <v>7500.0000000000055</v>
      </c>
      <c r="AA39" s="278">
        <v>7500.0000000000055</v>
      </c>
      <c r="AB39" s="278">
        <v>7500.0000000000055</v>
      </c>
      <c r="AC39" s="279">
        <v>7500.0000000000055</v>
      </c>
    </row>
    <row r="40" spans="1:29" s="31" customFormat="1" ht="12.75" customHeight="1" x14ac:dyDescent="0.2">
      <c r="A40" s="178">
        <v>713</v>
      </c>
      <c r="B40" s="343"/>
      <c r="C40" s="248" t="s">
        <v>889</v>
      </c>
      <c r="D40" s="248" t="s">
        <v>427</v>
      </c>
      <c r="E40" s="284">
        <v>0</v>
      </c>
      <c r="F40" s="284">
        <v>0</v>
      </c>
      <c r="G40" s="284">
        <v>0</v>
      </c>
      <c r="H40" s="284">
        <v>0</v>
      </c>
      <c r="I40" s="284">
        <v>0</v>
      </c>
      <c r="J40" s="284">
        <v>0</v>
      </c>
      <c r="K40" s="284">
        <v>0</v>
      </c>
      <c r="L40" s="284">
        <v>0</v>
      </c>
      <c r="M40" s="284">
        <v>0</v>
      </c>
      <c r="N40" s="284">
        <v>0</v>
      </c>
      <c r="O40" s="284">
        <v>0</v>
      </c>
      <c r="P40" s="284">
        <v>0</v>
      </c>
      <c r="Q40" s="284">
        <v>0</v>
      </c>
      <c r="R40" s="284">
        <v>0</v>
      </c>
      <c r="S40" s="284">
        <v>0</v>
      </c>
      <c r="T40" s="284">
        <v>0</v>
      </c>
      <c r="U40" s="284">
        <v>0</v>
      </c>
      <c r="V40" s="284">
        <v>0</v>
      </c>
      <c r="W40" s="284">
        <v>0</v>
      </c>
      <c r="X40" s="284">
        <v>0</v>
      </c>
      <c r="Y40" s="284">
        <v>0</v>
      </c>
      <c r="Z40" s="284">
        <v>0</v>
      </c>
      <c r="AA40" s="284">
        <v>0</v>
      </c>
      <c r="AB40" s="284">
        <v>0</v>
      </c>
      <c r="AC40" s="285">
        <v>0</v>
      </c>
    </row>
    <row r="41" spans="1:29" s="31" customFormat="1" ht="12.75" customHeight="1" x14ac:dyDescent="0.2">
      <c r="A41" s="178">
        <v>714</v>
      </c>
      <c r="B41" s="345"/>
      <c r="C41" s="256" t="s">
        <v>888</v>
      </c>
      <c r="D41" s="256" t="s">
        <v>427</v>
      </c>
      <c r="E41" s="286">
        <v>0</v>
      </c>
      <c r="F41" s="286">
        <v>0</v>
      </c>
      <c r="G41" s="286">
        <v>0</v>
      </c>
      <c r="H41" s="286">
        <v>0</v>
      </c>
      <c r="I41" s="286">
        <v>0</v>
      </c>
      <c r="J41" s="286">
        <v>0</v>
      </c>
      <c r="K41" s="286">
        <v>0</v>
      </c>
      <c r="L41" s="286">
        <v>0</v>
      </c>
      <c r="M41" s="286">
        <v>0</v>
      </c>
      <c r="N41" s="286">
        <v>0</v>
      </c>
      <c r="O41" s="286">
        <v>0</v>
      </c>
      <c r="P41" s="286">
        <v>0</v>
      </c>
      <c r="Q41" s="286">
        <v>0</v>
      </c>
      <c r="R41" s="286">
        <v>0</v>
      </c>
      <c r="S41" s="286">
        <v>0</v>
      </c>
      <c r="T41" s="286">
        <v>0</v>
      </c>
      <c r="U41" s="286">
        <v>0</v>
      </c>
      <c r="V41" s="286">
        <v>0</v>
      </c>
      <c r="W41" s="286">
        <v>0</v>
      </c>
      <c r="X41" s="286">
        <v>0</v>
      </c>
      <c r="Y41" s="286">
        <v>0</v>
      </c>
      <c r="Z41" s="286">
        <v>0</v>
      </c>
      <c r="AA41" s="286">
        <v>0</v>
      </c>
      <c r="AB41" s="286">
        <v>0</v>
      </c>
      <c r="AC41" s="287">
        <v>0</v>
      </c>
    </row>
    <row r="42" spans="1:29" s="31" customFormat="1" ht="17.100000000000001" customHeight="1" thickBot="1" x14ac:dyDescent="0.25">
      <c r="A42" s="178">
        <v>715</v>
      </c>
      <c r="B42" s="346" t="s">
        <v>887</v>
      </c>
      <c r="C42" s="351"/>
      <c r="D42" s="257" t="s">
        <v>427</v>
      </c>
      <c r="E42" s="261">
        <f>E38-SUM(E39:E41)</f>
        <v>-40870</v>
      </c>
      <c r="F42" s="261">
        <f t="shared" ref="F42:AC42" si="4">F38-SUM(F39:F41)</f>
        <v>-87513.827710526326</v>
      </c>
      <c r="G42" s="261">
        <f t="shared" si="4"/>
        <v>-84146.711938498673</v>
      </c>
      <c r="H42" s="261">
        <f t="shared" si="4"/>
        <v>-11076.039423487902</v>
      </c>
      <c r="I42" s="261">
        <f t="shared" si="4"/>
        <v>18022.036303635483</v>
      </c>
      <c r="J42" s="261">
        <f t="shared" si="4"/>
        <v>19851.852377065723</v>
      </c>
      <c r="K42" s="261">
        <f t="shared" si="4"/>
        <v>-14841.064161593611</v>
      </c>
      <c r="L42" s="261">
        <f t="shared" si="4"/>
        <v>-13164.548056286039</v>
      </c>
      <c r="M42" s="261">
        <f t="shared" si="4"/>
        <v>-4270.5670067324027</v>
      </c>
      <c r="N42" s="261">
        <f t="shared" si="4"/>
        <v>4724.9539408937344</v>
      </c>
      <c r="O42" s="261">
        <f t="shared" si="4"/>
        <v>6510.9104250957571</v>
      </c>
      <c r="P42" s="261">
        <f t="shared" si="4"/>
        <v>8301.3890320421597</v>
      </c>
      <c r="Q42" s="261">
        <f t="shared" si="4"/>
        <v>10096.434974599324</v>
      </c>
      <c r="R42" s="261">
        <f t="shared" si="4"/>
        <v>11896.093917763021</v>
      </c>
      <c r="S42" s="261">
        <f t="shared" si="4"/>
        <v>13700.411983180064</v>
      </c>
      <c r="T42" s="261">
        <f t="shared" si="4"/>
        <v>15509.435753714339</v>
      </c>
      <c r="U42" s="261">
        <f t="shared" si="4"/>
        <v>17323.21227805944</v>
      </c>
      <c r="V42" s="261">
        <f t="shared" si="4"/>
        <v>18605.225890829843</v>
      </c>
      <c r="W42" s="261">
        <f t="shared" si="4"/>
        <v>20428.650955532888</v>
      </c>
      <c r="X42" s="261">
        <f t="shared" si="4"/>
        <v>22256.972761920224</v>
      </c>
      <c r="Y42" s="261">
        <f t="shared" si="4"/>
        <v>24090.240269054317</v>
      </c>
      <c r="Z42" s="261">
        <f t="shared" si="4"/>
        <v>24586.397662431242</v>
      </c>
      <c r="AA42" s="261">
        <f t="shared" si="4"/>
        <v>8191.0778127008616</v>
      </c>
      <c r="AB42" s="261">
        <f t="shared" si="4"/>
        <v>8697.3758337355484</v>
      </c>
      <c r="AC42" s="262">
        <f t="shared" si="4"/>
        <v>9208.8203368859049</v>
      </c>
    </row>
    <row r="43" spans="1:29" s="31" customFormat="1" ht="17.100000000000001" customHeight="1" thickTop="1" thickBot="1" x14ac:dyDescent="0.25">
      <c r="A43" s="178">
        <v>716</v>
      </c>
      <c r="B43" s="352" t="s">
        <v>575</v>
      </c>
      <c r="C43" s="353"/>
      <c r="D43" s="288" t="s">
        <v>427</v>
      </c>
      <c r="E43" s="289">
        <f>E42</f>
        <v>-40870</v>
      </c>
      <c r="F43" s="289">
        <f>E43+F42</f>
        <v>-128383.82771052633</v>
      </c>
      <c r="G43" s="289">
        <f t="shared" ref="G43:AC43" si="5">F43+G42</f>
        <v>-212530.53964902501</v>
      </c>
      <c r="H43" s="289">
        <f t="shared" si="5"/>
        <v>-223606.57907251292</v>
      </c>
      <c r="I43" s="289">
        <f t="shared" si="5"/>
        <v>-205584.54276887744</v>
      </c>
      <c r="J43" s="289">
        <f t="shared" si="5"/>
        <v>-185732.69039181172</v>
      </c>
      <c r="K43" s="289">
        <f t="shared" si="5"/>
        <v>-200573.75455340534</v>
      </c>
      <c r="L43" s="289">
        <f t="shared" si="5"/>
        <v>-213738.30260969137</v>
      </c>
      <c r="M43" s="289">
        <f t="shared" si="5"/>
        <v>-218008.86961642376</v>
      </c>
      <c r="N43" s="289">
        <f t="shared" si="5"/>
        <v>-213283.91567553004</v>
      </c>
      <c r="O43" s="289">
        <f t="shared" si="5"/>
        <v>-206773.00525043427</v>
      </c>
      <c r="P43" s="289">
        <f t="shared" si="5"/>
        <v>-198471.61621839213</v>
      </c>
      <c r="Q43" s="289">
        <f t="shared" si="5"/>
        <v>-188375.18124379282</v>
      </c>
      <c r="R43" s="289">
        <f t="shared" si="5"/>
        <v>-176479.08732602978</v>
      </c>
      <c r="S43" s="289">
        <f t="shared" si="5"/>
        <v>-162778.67534284972</v>
      </c>
      <c r="T43" s="289">
        <f t="shared" si="5"/>
        <v>-147269.23958913537</v>
      </c>
      <c r="U43" s="289">
        <f t="shared" si="5"/>
        <v>-129946.02731107593</v>
      </c>
      <c r="V43" s="289">
        <f t="shared" si="5"/>
        <v>-111340.80142024609</v>
      </c>
      <c r="W43" s="289">
        <f t="shared" si="5"/>
        <v>-90912.150464713195</v>
      </c>
      <c r="X43" s="289">
        <f t="shared" si="5"/>
        <v>-68655.177702792978</v>
      </c>
      <c r="Y43" s="289">
        <f t="shared" si="5"/>
        <v>-44564.937433738662</v>
      </c>
      <c r="Z43" s="289">
        <f t="shared" si="5"/>
        <v>-19978.53977130742</v>
      </c>
      <c r="AA43" s="289">
        <f t="shared" si="5"/>
        <v>-11787.461958606558</v>
      </c>
      <c r="AB43" s="289">
        <f t="shared" si="5"/>
        <v>-3090.0861248710098</v>
      </c>
      <c r="AC43" s="289">
        <f t="shared" si="5"/>
        <v>6118.7342120148951</v>
      </c>
    </row>
    <row r="44" spans="1:29" s="31" customFormat="1" ht="12.75" customHeight="1" thickTop="1" x14ac:dyDescent="0.2">
      <c r="B44" s="1"/>
      <c r="C44" s="1"/>
      <c r="D44" s="1"/>
      <c r="E44" s="1"/>
      <c r="F44" s="35"/>
      <c r="G44" s="35"/>
      <c r="H44" s="35"/>
      <c r="I44" s="35"/>
      <c r="J44" s="35"/>
      <c r="K44" s="35"/>
      <c r="L44" s="35"/>
      <c r="M44" s="35"/>
      <c r="N44" s="35"/>
      <c r="O44" s="35"/>
      <c r="P44" s="35"/>
      <c r="Q44" s="35"/>
      <c r="R44" s="35"/>
      <c r="S44" s="35"/>
      <c r="T44" s="35"/>
      <c r="U44" s="35"/>
      <c r="V44" s="35"/>
    </row>
    <row r="45" spans="1:29" s="31" customFormat="1" ht="12.75" hidden="1" customHeight="1" x14ac:dyDescent="0.2">
      <c r="B45" s="1"/>
      <c r="C45" s="1"/>
      <c r="D45" s="1"/>
      <c r="E45" s="1"/>
      <c r="F45" s="35"/>
      <c r="G45" s="35"/>
      <c r="H45" s="35"/>
      <c r="I45" s="35"/>
      <c r="J45" s="35"/>
      <c r="K45" s="35"/>
      <c r="L45" s="35"/>
      <c r="M45" s="35"/>
      <c r="N45" s="35"/>
      <c r="O45" s="35"/>
      <c r="P45" s="35"/>
      <c r="Q45" s="35"/>
      <c r="R45" s="35"/>
      <c r="S45" s="35"/>
      <c r="T45" s="35"/>
      <c r="U45" s="35"/>
      <c r="V45" s="35"/>
    </row>
    <row r="46" spans="1:29" s="31" customFormat="1" ht="12.75" hidden="1" customHeight="1" x14ac:dyDescent="0.2">
      <c r="B46" s="1"/>
      <c r="C46" s="1"/>
      <c r="D46" s="1"/>
      <c r="E46" s="1"/>
      <c r="F46" s="35"/>
      <c r="G46" s="35"/>
      <c r="H46" s="35"/>
      <c r="I46" s="35"/>
      <c r="J46" s="35"/>
      <c r="K46" s="35"/>
      <c r="L46" s="35"/>
      <c r="M46" s="35"/>
      <c r="N46" s="35"/>
      <c r="O46" s="35"/>
      <c r="P46" s="35"/>
      <c r="Q46" s="35"/>
      <c r="R46" s="35"/>
      <c r="S46" s="35"/>
      <c r="T46" s="35"/>
      <c r="U46" s="35"/>
      <c r="V46" s="35"/>
    </row>
    <row r="47" spans="1:29" s="31" customFormat="1" ht="12.75" hidden="1" customHeight="1" x14ac:dyDescent="0.2">
      <c r="B47" s="1"/>
      <c r="C47" s="1"/>
      <c r="D47" s="1"/>
      <c r="E47" s="1"/>
      <c r="F47" s="35"/>
      <c r="G47" s="35"/>
      <c r="H47" s="35"/>
      <c r="I47" s="35"/>
      <c r="J47" s="35"/>
      <c r="K47" s="35"/>
      <c r="L47" s="35"/>
      <c r="M47" s="35"/>
      <c r="N47" s="35"/>
      <c r="O47" s="35"/>
      <c r="P47" s="35"/>
      <c r="Q47" s="35"/>
      <c r="R47" s="35"/>
      <c r="S47" s="35"/>
      <c r="T47" s="35"/>
      <c r="U47" s="35"/>
      <c r="V47" s="35"/>
    </row>
  </sheetData>
  <sheetProtection algorithmName="SHA-512" hashValue="zDC+deCsx7RyVr8iTU/g5zfGw/Y2nVmbEEKP4wmAPlFkz0sr9WBnkUD77MjnxmVvaKYvGhA+3zYmhqUv2vk/9g==" saltValue="tZmfHnBpKh+t0NqLrlNWGQ==" spinCount="100000" sheet="1" objects="1" scenarios="1"/>
  <mergeCells count="3">
    <mergeCell ref="C4:H4"/>
    <mergeCell ref="C13:G13"/>
    <mergeCell ref="C3:H3"/>
  </mergeCells>
  <hyperlinks>
    <hyperlink ref="A1" location="I1_700" display="I1_700" xr:uid="{EF72D67A-EB8B-47B6-B71A-36333BDF788A}"/>
    <hyperlink ref="A3" location="I1_101a" display="101a" xr:uid="{F3D8CE07-7F38-4A77-A20B-7A6CAD3468BA}"/>
    <hyperlink ref="A5" location="I1_101k" display="101k" xr:uid="{945AB58F-F245-4183-9FF3-FF8D54C4B4FE}"/>
    <hyperlink ref="A7" location="I1_106" display="I1_106" xr:uid="{E73D31FD-5CC3-4024-A353-D0906B79B123}"/>
    <hyperlink ref="A11" location="I1_107" display="I1_107" xr:uid="{F00498D3-D8CB-47FF-9E9D-EF3B16756D9B}"/>
    <hyperlink ref="A13" location="I1_501" display="I1_501" xr:uid="{409712FB-04E9-446F-BF53-2F9124760A6F}"/>
    <hyperlink ref="A4" location="I1_101b" display="101b" xr:uid="{90E94732-CF1E-4CBE-819D-3B7A1B1187E3}"/>
    <hyperlink ref="A15" location="I1_711" display="I1_711" xr:uid="{3F2CC84F-A1DE-469E-9627-3979E459E150}"/>
    <hyperlink ref="A16" location="I1_561" display="I1_561" xr:uid="{C76A7FC1-F921-4DED-9987-2839507375B6}"/>
    <hyperlink ref="A17" location="I1_562" display="I1_562" xr:uid="{18EAD7D3-AD70-4A96-A8A8-9A1A3039DE20}"/>
    <hyperlink ref="A18" location="I1_563" display="I1_563" xr:uid="{6C1DF968-6538-4264-BE0C-1E28F9C76682}"/>
    <hyperlink ref="A19" location="I1_564" display="I1_564" xr:uid="{B8DDD866-B938-4793-83F1-71F071BD02EB}"/>
    <hyperlink ref="A20" location="I1_566" display="I1_566" xr:uid="{B6C6ADF0-1108-4597-A6A5-5EB31604819B}"/>
    <hyperlink ref="A21" location="I1_569" display="I1_569" xr:uid="{E78AE3D5-6534-4ADB-B948-D1BC0EB6905A}"/>
    <hyperlink ref="A24" location="I1_571a" display="571a" xr:uid="{75643ED3-B92F-486B-8F92-7A9605232339}"/>
    <hyperlink ref="A25" location="I1_571b" display="571b" xr:uid="{7F5A10B1-7AA0-4744-B32C-5F0085BB0EBF}"/>
    <hyperlink ref="A26" location="I1_571c" display="571c" xr:uid="{C024C2F3-ED2B-41A1-A671-307F4DF22DEF}"/>
    <hyperlink ref="A27" location="I1_571d" display="571d" xr:uid="{30E24FB6-A171-4B3E-AB17-9BC5C6750920}"/>
    <hyperlink ref="A28" location="I1_571e" display="571e" xr:uid="{B034695C-3715-4CD3-BA5B-CF1BE07AE4E4}"/>
    <hyperlink ref="A29" location="I1_572a" display="572a" xr:uid="{52DC90B8-D233-4BD6-815C-525726228877}"/>
    <hyperlink ref="A30" location="I1_572b" display="572b" xr:uid="{77530208-57EF-479B-9DE3-D96BC3075AEF}"/>
    <hyperlink ref="A31" location="I1_710" display="I1_710" xr:uid="{5E20778D-CBDE-498B-BE34-6A4BB077447D}"/>
    <hyperlink ref="A32" location="I1_574a" display="574a" xr:uid="{9FAE5645-878A-41A6-86C6-8C1250FB7054}"/>
    <hyperlink ref="A33" location="I1_574b" display="574b" xr:uid="{74FC979C-8E5D-4FC3-84D0-F945A30DD685}"/>
    <hyperlink ref="A34" location="I1_575" display="I1_575" xr:uid="{A7FDBD8C-60B8-4957-B4DD-8C64482C3C60}"/>
    <hyperlink ref="A35" location="I1_576" display="I1_576" xr:uid="{A98BFF68-EF4E-49CC-99D2-6745E904D4C2}"/>
    <hyperlink ref="A36" location="I1_711" display="I1_711" xr:uid="{1BFA18DC-F273-4683-9EDE-F4397CA46B5D}"/>
    <hyperlink ref="A37" location="I1_585" display="I1_585" xr:uid="{CE5BC284-9AF9-4B57-B7A6-57F93A18EF2F}"/>
    <hyperlink ref="A38" location="I1_712" display="I1_712" xr:uid="{BEAA8204-E378-498E-AFE4-7D563198A208}"/>
    <hyperlink ref="A39" location="I1_578" display="I1_578" xr:uid="{CB08C5FE-7F20-489A-B543-EE3C5EB6C165}"/>
    <hyperlink ref="A40" location="I1_713" display="I1_713" xr:uid="{B793E59F-3618-44BF-84FA-D3C76210668B}"/>
    <hyperlink ref="A41" location="I1_714" display="I1_714" xr:uid="{19B3F7E6-6EF2-4ABF-991B-8C4CBCD754DD}"/>
    <hyperlink ref="A42" location="I1_715" display="I1_715" xr:uid="{36B47C87-B605-488D-B116-A2E17B365E1F}"/>
    <hyperlink ref="A43" location="I1_716" display="I1_716" xr:uid="{5913B83B-63CE-48E2-A06F-34028E429C40}"/>
  </hyperlinks>
  <pageMargins left="0.70866141732283472" right="0.70866141732283472" top="0.78740157480314965" bottom="0.78740157480314965" header="0.31496062992125984" footer="0.31496062992125984"/>
  <pageSetup paperSize="9" scale="84" fitToWidth="0" orientation="landscape" r:id="rId1"/>
  <headerFooter>
    <oddHeader>&amp;R&amp;G</oddHeader>
    <oddFooter>&amp;L&amp;10&amp;G&amp;C&amp;10Seite &amp;P/&amp;N&amp;R&amp;10&amp;D</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1048576"/>
  <sheetViews>
    <sheetView workbookViewId="0">
      <selection activeCell="C9" sqref="C9"/>
    </sheetView>
  </sheetViews>
  <sheetFormatPr baseColWidth="10" defaultColWidth="0" defaultRowHeight="12.75" zeroHeight="1" x14ac:dyDescent="0.2"/>
  <cols>
    <col min="1" max="1" width="4.28515625" style="11" customWidth="1"/>
    <col min="2" max="2" width="43.28515625" style="300" customWidth="1"/>
    <col min="3" max="3" width="41.28515625" style="300" customWidth="1"/>
    <col min="4" max="4" width="16.85546875" style="11" customWidth="1"/>
    <col min="5" max="6" width="15.28515625" style="11" customWidth="1"/>
    <col min="7" max="22" width="10.85546875" style="11" customWidth="1"/>
    <col min="23" max="23" width="0" style="11" hidden="1" customWidth="1"/>
    <col min="24" max="16384" width="10.85546875" style="11" hidden="1"/>
  </cols>
  <sheetData>
    <row r="1" spans="1:6" ht="18" x14ac:dyDescent="0.25">
      <c r="A1" s="3">
        <v>900</v>
      </c>
      <c r="B1" s="148" t="s">
        <v>443</v>
      </c>
      <c r="D1" s="300"/>
      <c r="E1" s="300"/>
      <c r="F1" s="300"/>
    </row>
    <row r="2" spans="1:6" x14ac:dyDescent="0.2">
      <c r="A2" s="300"/>
      <c r="D2" s="300"/>
      <c r="E2" s="300"/>
      <c r="F2" s="300"/>
    </row>
    <row r="3" spans="1:6" x14ac:dyDescent="0.2">
      <c r="A3" s="3">
        <v>104</v>
      </c>
      <c r="C3" s="301" t="s">
        <v>444</v>
      </c>
      <c r="D3" s="300"/>
      <c r="E3" s="300"/>
      <c r="F3" s="300"/>
    </row>
    <row r="4" spans="1:6" x14ac:dyDescent="0.2">
      <c r="A4" s="300"/>
      <c r="D4" s="300"/>
      <c r="E4" s="300"/>
      <c r="F4" s="300"/>
    </row>
    <row r="5" spans="1:6" x14ac:dyDescent="0.2">
      <c r="A5" s="3">
        <v>910</v>
      </c>
      <c r="B5" s="12" t="s">
        <v>445</v>
      </c>
      <c r="C5" s="13"/>
      <c r="D5" s="13"/>
      <c r="E5" s="13"/>
      <c r="F5" s="13"/>
    </row>
    <row r="6" spans="1:6" x14ac:dyDescent="0.2">
      <c r="A6" s="3">
        <v>911</v>
      </c>
      <c r="B6" s="14"/>
      <c r="C6" s="15" t="s">
        <v>446</v>
      </c>
      <c r="D6" s="15"/>
      <c r="E6" s="15"/>
      <c r="F6" s="15"/>
    </row>
    <row r="7" spans="1:6" ht="15" customHeight="1" x14ac:dyDescent="0.2">
      <c r="A7" s="300"/>
      <c r="B7" s="16"/>
      <c r="C7" s="368" t="s">
        <v>361</v>
      </c>
      <c r="D7" s="370" t="s">
        <v>447</v>
      </c>
      <c r="E7" s="370" t="s">
        <v>448</v>
      </c>
      <c r="F7" s="370" t="s">
        <v>449</v>
      </c>
    </row>
    <row r="8" spans="1:6" x14ac:dyDescent="0.2">
      <c r="A8" s="300"/>
      <c r="B8" s="16"/>
      <c r="C8" s="369"/>
      <c r="D8" s="371"/>
      <c r="E8" s="371"/>
      <c r="F8" s="371"/>
    </row>
    <row r="9" spans="1:6" x14ac:dyDescent="0.2">
      <c r="A9" s="300"/>
      <c r="B9" s="16"/>
      <c r="C9" s="324" t="str">
        <f>E3_Consommateurs!$D15</f>
        <v>École</v>
      </c>
      <c r="D9" s="324"/>
      <c r="E9" s="325">
        <f>E3_Consommateurs!$D19</f>
        <v>155</v>
      </c>
      <c r="F9" s="325">
        <f>E3_Consommateurs!$D18</f>
        <v>343</v>
      </c>
    </row>
    <row r="10" spans="1:6" x14ac:dyDescent="0.2">
      <c r="A10" s="300"/>
      <c r="B10" s="16"/>
      <c r="C10" s="324" t="str">
        <f>E3_Consommateurs!$E15</f>
        <v>Chancellerie municipale</v>
      </c>
      <c r="D10" s="324"/>
      <c r="E10" s="325">
        <f>E3_Consommateurs!$E19</f>
        <v>65</v>
      </c>
      <c r="F10" s="325">
        <f>E3_Consommateurs!$E18</f>
        <v>126</v>
      </c>
    </row>
    <row r="11" spans="1:6" x14ac:dyDescent="0.2">
      <c r="A11" s="300"/>
      <c r="B11" s="16"/>
      <c r="C11" s="324" t="str">
        <f>E3_Consommateurs!$F15</f>
        <v>École maternelle</v>
      </c>
      <c r="D11" s="324"/>
      <c r="E11" s="325">
        <f>E3_Consommateurs!$F19</f>
        <v>22</v>
      </c>
      <c r="F11" s="325">
        <f>E3_Consommateurs!$F18</f>
        <v>44</v>
      </c>
    </row>
    <row r="12" spans="1:6" x14ac:dyDescent="0.2">
      <c r="A12" s="300"/>
      <c r="B12" s="16"/>
      <c r="C12" s="324" t="str">
        <f>E3_Consommateurs!$G15</f>
        <v>Lotissement</v>
      </c>
      <c r="D12" s="324"/>
      <c r="E12" s="325">
        <f>E3_Consommateurs!$G19</f>
        <v>68</v>
      </c>
      <c r="F12" s="325">
        <f>E3_Consommateurs!$G18</f>
        <v>132</v>
      </c>
    </row>
    <row r="13" spans="1:6" x14ac:dyDescent="0.2">
      <c r="A13" s="300"/>
      <c r="B13" s="16"/>
      <c r="C13" s="324" t="str">
        <f>E3_Consommateurs!$H15</f>
        <v>Lotissement</v>
      </c>
      <c r="D13" s="324"/>
      <c r="E13" s="325">
        <f>E3_Consommateurs!$H19</f>
        <v>54</v>
      </c>
      <c r="F13" s="325">
        <f>E3_Consommateurs!$H18</f>
        <v>106</v>
      </c>
    </row>
    <row r="14" spans="1:6" x14ac:dyDescent="0.2">
      <c r="A14" s="300"/>
      <c r="B14" s="16"/>
      <c r="C14" s="324" t="str">
        <f>E3_Consommateurs!$I15</f>
        <v>Lotissement</v>
      </c>
      <c r="D14" s="324"/>
      <c r="E14" s="325">
        <f>E3_Consommateurs!$I19</f>
        <v>52</v>
      </c>
      <c r="F14" s="325">
        <f>E3_Consommateurs!$I18</f>
        <v>101</v>
      </c>
    </row>
    <row r="15" spans="1:6" x14ac:dyDescent="0.2">
      <c r="A15" s="300"/>
      <c r="B15" s="16"/>
      <c r="C15" s="324" t="str">
        <f>E3_Consommateurs!$J15</f>
        <v>Lotissement</v>
      </c>
      <c r="D15" s="324"/>
      <c r="E15" s="325">
        <f>E3_Consommateurs!$J19</f>
        <v>58</v>
      </c>
      <c r="F15" s="325">
        <f>E3_Consommateurs!$J18</f>
        <v>113</v>
      </c>
    </row>
    <row r="16" spans="1:6" x14ac:dyDescent="0.2">
      <c r="A16" s="300"/>
      <c r="B16" s="16"/>
      <c r="C16" s="324" t="str">
        <f>E3_Consommateurs!$K15</f>
        <v>Lotissement</v>
      </c>
      <c r="D16" s="324"/>
      <c r="E16" s="325">
        <f>E3_Consommateurs!$K19</f>
        <v>45</v>
      </c>
      <c r="F16" s="325">
        <f>E3_Consommateurs!$K18</f>
        <v>88</v>
      </c>
    </row>
    <row r="17" spans="1:6" x14ac:dyDescent="0.2">
      <c r="A17" s="300"/>
      <c r="B17" s="16"/>
      <c r="C17" s="324" t="str">
        <f>E3_Consommateurs!$L15</f>
        <v>Lotissement</v>
      </c>
      <c r="D17" s="324"/>
      <c r="E17" s="325">
        <f>E3_Consommateurs!$L19</f>
        <v>41</v>
      </c>
      <c r="F17" s="325">
        <f>E3_Consommateurs!$L18</f>
        <v>80</v>
      </c>
    </row>
    <row r="18" spans="1:6" x14ac:dyDescent="0.2">
      <c r="A18" s="300"/>
      <c r="B18" s="16"/>
      <c r="C18" s="324" t="str">
        <f>E3_Consommateurs!$M15</f>
        <v>Lotissement</v>
      </c>
      <c r="D18" s="324"/>
      <c r="E18" s="325">
        <f>E3_Consommateurs!$M19</f>
        <v>38</v>
      </c>
      <c r="F18" s="325">
        <f>E3_Consommateurs!$M18</f>
        <v>76</v>
      </c>
    </row>
    <row r="19" spans="1:6" x14ac:dyDescent="0.2">
      <c r="A19" s="300"/>
      <c r="B19" s="16"/>
      <c r="C19" s="324" t="str">
        <f>E3_Consommateurs!$N15</f>
        <v>Lotissement</v>
      </c>
      <c r="D19" s="324"/>
      <c r="E19" s="325">
        <f>E3_Consommateurs!$N19</f>
        <v>38</v>
      </c>
      <c r="F19" s="325">
        <f>E3_Consommateurs!$N18</f>
        <v>76</v>
      </c>
    </row>
    <row r="20" spans="1:6" x14ac:dyDescent="0.2">
      <c r="A20" s="300"/>
      <c r="B20" s="16"/>
      <c r="C20" s="324" t="str">
        <f>E3_Consommateurs!$O15</f>
        <v>Lotissement</v>
      </c>
      <c r="D20" s="324"/>
      <c r="E20" s="325">
        <f>E3_Consommateurs!$O19</f>
        <v>19</v>
      </c>
      <c r="F20" s="325">
        <f>E3_Consommateurs!$O18</f>
        <v>38</v>
      </c>
    </row>
    <row r="21" spans="1:6" x14ac:dyDescent="0.2">
      <c r="A21" s="300"/>
      <c r="B21" s="16"/>
      <c r="C21" s="324" t="str">
        <f>E3_Consommateurs!$P15</f>
        <v>Lotissement</v>
      </c>
      <c r="D21" s="324"/>
      <c r="E21" s="325">
        <f>E3_Consommateurs!$P19</f>
        <v>23</v>
      </c>
      <c r="F21" s="325">
        <f>E3_Consommateurs!$P18</f>
        <v>46</v>
      </c>
    </row>
    <row r="22" spans="1:6" x14ac:dyDescent="0.2">
      <c r="A22" s="300"/>
      <c r="B22" s="16"/>
      <c r="C22" s="324" t="str">
        <f>E3_Consommateurs!$Q15</f>
        <v>Lotissement</v>
      </c>
      <c r="D22" s="324"/>
      <c r="E22" s="325">
        <f>E3_Consommateurs!$Q19</f>
        <v>27</v>
      </c>
      <c r="F22" s="325">
        <f>E3_Consommateurs!$Q18</f>
        <v>53</v>
      </c>
    </row>
    <row r="23" spans="1:6" x14ac:dyDescent="0.2">
      <c r="A23" s="300"/>
      <c r="B23" s="16"/>
      <c r="C23" s="324" t="str">
        <f>E3_Consommateurs!$R15</f>
        <v>Lotissement</v>
      </c>
      <c r="D23" s="324"/>
      <c r="E23" s="325">
        <f>E3_Consommateurs!$R19</f>
        <v>11</v>
      </c>
      <c r="F23" s="325">
        <f>E3_Consommateurs!$R18</f>
        <v>22</v>
      </c>
    </row>
    <row r="24" spans="1:6" x14ac:dyDescent="0.2">
      <c r="A24" s="300"/>
      <c r="C24" s="15" t="s">
        <v>446</v>
      </c>
      <c r="D24" s="17"/>
      <c r="E24" s="17"/>
      <c r="F24" s="300"/>
    </row>
    <row r="25" spans="1:6" ht="51" x14ac:dyDescent="0.2">
      <c r="A25" s="3">
        <v>912</v>
      </c>
      <c r="C25" s="326"/>
      <c r="D25" s="302" t="s">
        <v>367</v>
      </c>
      <c r="E25" s="303" t="s">
        <v>450</v>
      </c>
      <c r="F25" s="300"/>
    </row>
    <row r="26" spans="1:6" x14ac:dyDescent="0.2">
      <c r="A26" s="300"/>
      <c r="C26" s="302" t="str">
        <f>C9</f>
        <v>École</v>
      </c>
      <c r="D26" s="324">
        <f>E3_Consommateurs!$D21</f>
        <v>2025</v>
      </c>
      <c r="E26" s="325">
        <f>E9</f>
        <v>155</v>
      </c>
      <c r="F26" s="300"/>
    </row>
    <row r="27" spans="1:6" x14ac:dyDescent="0.2">
      <c r="A27" s="300"/>
      <c r="C27" s="302" t="str">
        <f t="shared" ref="C27:E40" si="0">C10</f>
        <v>Chancellerie municipale</v>
      </c>
      <c r="D27" s="324">
        <f>E3_Consommateurs!$E21</f>
        <v>2025</v>
      </c>
      <c r="E27" s="325">
        <f t="shared" si="0"/>
        <v>65</v>
      </c>
      <c r="F27" s="300"/>
    </row>
    <row r="28" spans="1:6" x14ac:dyDescent="0.2">
      <c r="A28" s="300"/>
      <c r="C28" s="302" t="str">
        <f t="shared" si="0"/>
        <v>École maternelle</v>
      </c>
      <c r="D28" s="324">
        <f>E3_Consommateurs!$F21</f>
        <v>2025</v>
      </c>
      <c r="E28" s="325">
        <f t="shared" si="0"/>
        <v>22</v>
      </c>
      <c r="F28" s="300"/>
    </row>
    <row r="29" spans="1:6" x14ac:dyDescent="0.2">
      <c r="A29" s="300"/>
      <c r="C29" s="302" t="str">
        <f t="shared" si="0"/>
        <v>Lotissement</v>
      </c>
      <c r="D29" s="324">
        <f>E3_Consommateurs!$G21</f>
        <v>2026</v>
      </c>
      <c r="E29" s="325">
        <f t="shared" si="0"/>
        <v>68</v>
      </c>
      <c r="F29" s="300"/>
    </row>
    <row r="30" spans="1:6" x14ac:dyDescent="0.2">
      <c r="A30" s="300"/>
      <c r="C30" s="302" t="str">
        <f t="shared" si="0"/>
        <v>Lotissement</v>
      </c>
      <c r="D30" s="324">
        <f>E3_Consommateurs!$H21</f>
        <v>2026</v>
      </c>
      <c r="E30" s="325">
        <f t="shared" si="0"/>
        <v>54</v>
      </c>
      <c r="F30" s="300"/>
    </row>
    <row r="31" spans="1:6" x14ac:dyDescent="0.2">
      <c r="A31" s="300"/>
      <c r="C31" s="302" t="str">
        <f t="shared" si="0"/>
        <v>Lotissement</v>
      </c>
      <c r="D31" s="324">
        <f>E3_Consommateurs!$I21</f>
        <v>2026</v>
      </c>
      <c r="E31" s="325">
        <f t="shared" si="0"/>
        <v>52</v>
      </c>
      <c r="F31" s="300"/>
    </row>
    <row r="32" spans="1:6" x14ac:dyDescent="0.2">
      <c r="A32" s="300"/>
      <c r="C32" s="302" t="str">
        <f t="shared" si="0"/>
        <v>Lotissement</v>
      </c>
      <c r="D32" s="324">
        <f>E3_Consommateurs!$J21</f>
        <v>2026</v>
      </c>
      <c r="E32" s="325">
        <f t="shared" si="0"/>
        <v>58</v>
      </c>
      <c r="F32" s="300"/>
    </row>
    <row r="33" spans="1:19" x14ac:dyDescent="0.2">
      <c r="A33" s="300"/>
      <c r="C33" s="302" t="str">
        <f t="shared" si="0"/>
        <v>Lotissement</v>
      </c>
      <c r="D33" s="324">
        <f>E3_Consommateurs!$K21</f>
        <v>2026</v>
      </c>
      <c r="E33" s="325">
        <f t="shared" si="0"/>
        <v>45</v>
      </c>
      <c r="F33" s="300"/>
      <c r="G33" s="300"/>
      <c r="H33" s="300"/>
      <c r="I33" s="300"/>
      <c r="J33" s="300"/>
      <c r="K33" s="300"/>
      <c r="L33" s="300"/>
      <c r="M33" s="300"/>
      <c r="N33" s="300"/>
      <c r="O33" s="300"/>
      <c r="P33" s="300"/>
      <c r="Q33" s="300"/>
      <c r="R33" s="300"/>
      <c r="S33" s="300"/>
    </row>
    <row r="34" spans="1:19" x14ac:dyDescent="0.2">
      <c r="A34" s="300"/>
      <c r="C34" s="302" t="str">
        <f t="shared" si="0"/>
        <v>Lotissement</v>
      </c>
      <c r="D34" s="324">
        <f>E3_Consommateurs!$L21</f>
        <v>2026</v>
      </c>
      <c r="E34" s="325">
        <f t="shared" si="0"/>
        <v>41</v>
      </c>
      <c r="F34" s="300"/>
      <c r="G34" s="300"/>
      <c r="H34" s="300"/>
      <c r="I34" s="300"/>
      <c r="J34" s="300"/>
      <c r="K34" s="300"/>
      <c r="L34" s="300"/>
      <c r="M34" s="300"/>
      <c r="N34" s="300"/>
      <c r="O34" s="300"/>
      <c r="P34" s="300"/>
      <c r="Q34" s="300"/>
      <c r="R34" s="300"/>
      <c r="S34" s="300"/>
    </row>
    <row r="35" spans="1:19" x14ac:dyDescent="0.2">
      <c r="A35" s="300"/>
      <c r="C35" s="302" t="str">
        <f t="shared" si="0"/>
        <v>Lotissement</v>
      </c>
      <c r="D35" s="324">
        <f>E3_Consommateurs!$M21</f>
        <v>2027</v>
      </c>
      <c r="E35" s="325">
        <f t="shared" si="0"/>
        <v>38</v>
      </c>
      <c r="F35" s="300"/>
      <c r="G35" s="300"/>
      <c r="H35" s="300"/>
      <c r="I35" s="300"/>
      <c r="J35" s="300"/>
      <c r="K35" s="300"/>
      <c r="L35" s="300"/>
      <c r="M35" s="300"/>
      <c r="N35" s="300"/>
      <c r="O35" s="300"/>
      <c r="P35" s="300"/>
      <c r="Q35" s="300"/>
      <c r="R35" s="300"/>
      <c r="S35" s="300"/>
    </row>
    <row r="36" spans="1:19" x14ac:dyDescent="0.2">
      <c r="A36" s="300"/>
      <c r="C36" s="302" t="str">
        <f t="shared" si="0"/>
        <v>Lotissement</v>
      </c>
      <c r="D36" s="324">
        <f>E3_Consommateurs!$N21</f>
        <v>2027</v>
      </c>
      <c r="E36" s="325">
        <f t="shared" si="0"/>
        <v>38</v>
      </c>
      <c r="F36" s="300"/>
      <c r="G36" s="300"/>
      <c r="H36" s="300"/>
      <c r="I36" s="300"/>
      <c r="J36" s="300"/>
      <c r="K36" s="300"/>
      <c r="L36" s="300"/>
      <c r="M36" s="300"/>
      <c r="N36" s="300"/>
      <c r="O36" s="300"/>
      <c r="P36" s="300"/>
      <c r="Q36" s="300"/>
      <c r="R36" s="300"/>
      <c r="S36" s="300"/>
    </row>
    <row r="37" spans="1:19" x14ac:dyDescent="0.2">
      <c r="A37" s="300"/>
      <c r="C37" s="302" t="str">
        <f t="shared" si="0"/>
        <v>Lotissement</v>
      </c>
      <c r="D37" s="324">
        <f>E3_Consommateurs!$O21</f>
        <v>2027</v>
      </c>
      <c r="E37" s="325">
        <f t="shared" si="0"/>
        <v>19</v>
      </c>
      <c r="F37" s="300"/>
      <c r="G37" s="300"/>
      <c r="H37" s="300"/>
      <c r="I37" s="300"/>
      <c r="J37" s="300"/>
      <c r="K37" s="300"/>
      <c r="L37" s="300"/>
      <c r="M37" s="300"/>
      <c r="N37" s="300"/>
      <c r="O37" s="300"/>
      <c r="P37" s="300"/>
      <c r="Q37" s="300"/>
      <c r="R37" s="300"/>
      <c r="S37" s="300"/>
    </row>
    <row r="38" spans="1:19" x14ac:dyDescent="0.2">
      <c r="A38" s="300"/>
      <c r="C38" s="302" t="str">
        <f t="shared" si="0"/>
        <v>Lotissement</v>
      </c>
      <c r="D38" s="324">
        <f>E3_Consommateurs!$P21</f>
        <v>2027</v>
      </c>
      <c r="E38" s="325">
        <f t="shared" si="0"/>
        <v>23</v>
      </c>
      <c r="F38" s="300"/>
      <c r="G38" s="300"/>
      <c r="H38" s="300"/>
      <c r="I38" s="300"/>
      <c r="J38" s="300"/>
      <c r="K38" s="300"/>
      <c r="L38" s="300"/>
      <c r="M38" s="300"/>
      <c r="N38" s="300"/>
      <c r="O38" s="300"/>
      <c r="P38" s="300"/>
      <c r="Q38" s="300"/>
      <c r="R38" s="300"/>
      <c r="S38" s="300"/>
    </row>
    <row r="39" spans="1:19" x14ac:dyDescent="0.2">
      <c r="A39" s="300"/>
      <c r="C39" s="302" t="str">
        <f t="shared" si="0"/>
        <v>Lotissement</v>
      </c>
      <c r="D39" s="324">
        <f>E3_Consommateurs!$Q21</f>
        <v>2027</v>
      </c>
      <c r="E39" s="325">
        <f t="shared" si="0"/>
        <v>27</v>
      </c>
      <c r="F39" s="300"/>
      <c r="G39" s="300"/>
      <c r="H39" s="300"/>
      <c r="I39" s="300"/>
      <c r="J39" s="300"/>
      <c r="K39" s="300"/>
      <c r="L39" s="300"/>
      <c r="M39" s="300"/>
      <c r="N39" s="300"/>
      <c r="O39" s="300"/>
      <c r="P39" s="300"/>
      <c r="Q39" s="300"/>
      <c r="R39" s="300"/>
      <c r="S39" s="300"/>
    </row>
    <row r="40" spans="1:19" x14ac:dyDescent="0.2">
      <c r="A40" s="300"/>
      <c r="C40" s="302" t="str">
        <f t="shared" si="0"/>
        <v>Lotissement</v>
      </c>
      <c r="D40" s="324">
        <f>E3_Consommateurs!$R21</f>
        <v>2027</v>
      </c>
      <c r="E40" s="325">
        <f t="shared" si="0"/>
        <v>11</v>
      </c>
      <c r="F40" s="300"/>
      <c r="G40" s="300"/>
      <c r="H40" s="300"/>
      <c r="I40" s="300"/>
      <c r="J40" s="300"/>
      <c r="K40" s="300"/>
      <c r="L40" s="300"/>
      <c r="M40" s="300"/>
      <c r="N40" s="300"/>
      <c r="O40" s="300"/>
      <c r="P40" s="300"/>
      <c r="Q40" s="300"/>
      <c r="R40" s="300"/>
      <c r="S40" s="300"/>
    </row>
    <row r="41" spans="1:19" x14ac:dyDescent="0.2">
      <c r="A41" s="300"/>
      <c r="D41" s="300"/>
      <c r="E41" s="300"/>
      <c r="F41" s="300"/>
      <c r="G41" s="300"/>
      <c r="H41" s="300"/>
      <c r="I41" s="300"/>
      <c r="J41" s="300"/>
      <c r="K41" s="300"/>
      <c r="L41" s="300"/>
      <c r="M41" s="300"/>
      <c r="N41" s="300"/>
      <c r="O41" s="300"/>
      <c r="P41" s="300"/>
      <c r="Q41" s="300"/>
      <c r="R41" s="300"/>
      <c r="S41" s="300"/>
    </row>
    <row r="42" spans="1:19" x14ac:dyDescent="0.2">
      <c r="A42" s="3">
        <v>920</v>
      </c>
      <c r="B42" s="13" t="s">
        <v>451</v>
      </c>
      <c r="C42" s="13"/>
      <c r="D42" s="18">
        <f>'E1_Données de projet'!D23</f>
        <v>2025</v>
      </c>
      <c r="E42" s="18">
        <f>D42+1</f>
        <v>2026</v>
      </c>
      <c r="F42" s="13">
        <f t="shared" ref="F42:S42" si="1">E42+1</f>
        <v>2027</v>
      </c>
      <c r="G42" s="13">
        <f t="shared" si="1"/>
        <v>2028</v>
      </c>
      <c r="H42" s="13">
        <f t="shared" si="1"/>
        <v>2029</v>
      </c>
      <c r="I42" s="13">
        <f t="shared" si="1"/>
        <v>2030</v>
      </c>
      <c r="J42" s="13">
        <f t="shared" si="1"/>
        <v>2031</v>
      </c>
      <c r="K42" s="13">
        <f t="shared" si="1"/>
        <v>2032</v>
      </c>
      <c r="L42" s="13">
        <f t="shared" si="1"/>
        <v>2033</v>
      </c>
      <c r="M42" s="13">
        <f t="shared" si="1"/>
        <v>2034</v>
      </c>
      <c r="N42" s="13">
        <f t="shared" si="1"/>
        <v>2035</v>
      </c>
      <c r="O42" s="13">
        <f t="shared" si="1"/>
        <v>2036</v>
      </c>
      <c r="P42" s="13">
        <f t="shared" si="1"/>
        <v>2037</v>
      </c>
      <c r="Q42" s="13">
        <f t="shared" si="1"/>
        <v>2038</v>
      </c>
      <c r="R42" s="13">
        <f t="shared" si="1"/>
        <v>2039</v>
      </c>
      <c r="S42" s="13">
        <f t="shared" si="1"/>
        <v>2040</v>
      </c>
    </row>
    <row r="43" spans="1:19" x14ac:dyDescent="0.2">
      <c r="A43" s="300"/>
      <c r="B43" s="15" t="s">
        <v>452</v>
      </c>
      <c r="C43" s="15"/>
      <c r="D43" s="15"/>
      <c r="E43" s="15"/>
      <c r="F43" s="15"/>
      <c r="G43" s="15"/>
      <c r="H43" s="15"/>
      <c r="I43" s="15"/>
      <c r="J43" s="15"/>
      <c r="K43" s="15"/>
      <c r="L43" s="15"/>
      <c r="M43" s="15"/>
      <c r="N43" s="15"/>
      <c r="O43" s="15"/>
      <c r="P43" s="15"/>
      <c r="Q43" s="15"/>
      <c r="R43" s="15"/>
      <c r="S43" s="15"/>
    </row>
    <row r="44" spans="1:19" x14ac:dyDescent="0.2">
      <c r="A44" s="3">
        <v>921</v>
      </c>
      <c r="B44" s="19" t="s">
        <v>453</v>
      </c>
      <c r="C44" s="20"/>
      <c r="D44" s="20"/>
      <c r="E44" s="20"/>
      <c r="F44" s="20"/>
      <c r="G44" s="20"/>
      <c r="H44" s="20"/>
      <c r="I44" s="20"/>
      <c r="J44" s="20"/>
      <c r="K44" s="20"/>
      <c r="L44" s="20"/>
      <c r="M44" s="20"/>
      <c r="N44" s="20"/>
      <c r="O44" s="20"/>
      <c r="P44" s="20"/>
      <c r="Q44" s="20"/>
      <c r="R44" s="20"/>
      <c r="S44" s="20"/>
    </row>
    <row r="45" spans="1:19" x14ac:dyDescent="0.2">
      <c r="A45" s="300"/>
      <c r="B45" s="304" t="str">
        <f>C9</f>
        <v>École</v>
      </c>
      <c r="C45" s="304" t="s">
        <v>454</v>
      </c>
      <c r="D45" s="325">
        <f>E3_Consommateurs!$D18*(E3_Consommateurs!$D21&lt;D$42)+E3_Consommateurs!$D18*(E3_Consommateurs!$D21=D$42)*E3_Consommateurs!$D20</f>
        <v>171.5</v>
      </c>
      <c r="E45" s="325">
        <f>E3_Consommateurs!$D18*(E3_Consommateurs!$D21&lt;E$42)+E3_Consommateurs!$D18*(E3_Consommateurs!$D21=E$42)*E3_Consommateurs!$D20</f>
        <v>343</v>
      </c>
      <c r="F45" s="325">
        <f>E3_Consommateurs!$D18*(E3_Consommateurs!$D21&lt;F$42)+E3_Consommateurs!$D18*(E3_Consommateurs!$D21=F$42)*E3_Consommateurs!$D20</f>
        <v>343</v>
      </c>
      <c r="G45" s="325">
        <f>E3_Consommateurs!$D18*(E3_Consommateurs!$D21&lt;G$42)+E3_Consommateurs!$D18*(E3_Consommateurs!$D21=G$42)*E3_Consommateurs!$D20</f>
        <v>343</v>
      </c>
      <c r="H45" s="325">
        <f>E3_Consommateurs!$D18*(E3_Consommateurs!$D21&lt;H$42)+E3_Consommateurs!$D18*(E3_Consommateurs!$D21=H$42)*E3_Consommateurs!$D20</f>
        <v>343</v>
      </c>
      <c r="I45" s="325">
        <f>E3_Consommateurs!$D18*(E3_Consommateurs!$D21&lt;I$42)+E3_Consommateurs!$D18*(E3_Consommateurs!$D21=I$42)*E3_Consommateurs!$D20</f>
        <v>343</v>
      </c>
      <c r="J45" s="325">
        <f>E3_Consommateurs!$D18*(E3_Consommateurs!$D21&lt;J$42)+E3_Consommateurs!$D18*(E3_Consommateurs!$D21=J$42)*E3_Consommateurs!$D20</f>
        <v>343</v>
      </c>
      <c r="K45" s="325">
        <f>E3_Consommateurs!$D18*(E3_Consommateurs!$D21&lt;K$42)+E3_Consommateurs!$D18*(E3_Consommateurs!$D21=K$42)*E3_Consommateurs!$D20</f>
        <v>343</v>
      </c>
      <c r="L45" s="325">
        <f>E3_Consommateurs!$D18*(E3_Consommateurs!$D21&lt;L$42)+E3_Consommateurs!$D18*(E3_Consommateurs!$D21=L$42)*E3_Consommateurs!$D20</f>
        <v>343</v>
      </c>
      <c r="M45" s="325">
        <f>E3_Consommateurs!$D18*(E3_Consommateurs!$D21&lt;M$42)+E3_Consommateurs!$D18*(E3_Consommateurs!$D21=M$42)*E3_Consommateurs!$D20</f>
        <v>343</v>
      </c>
      <c r="N45" s="325">
        <f>E3_Consommateurs!$D18*(E3_Consommateurs!$D21&lt;N$42)+E3_Consommateurs!$D18*(E3_Consommateurs!$D21=N$42)*E3_Consommateurs!$D20</f>
        <v>343</v>
      </c>
      <c r="O45" s="325">
        <f>E3_Consommateurs!$D18*(E3_Consommateurs!$D21&lt;O$42)+E3_Consommateurs!$D18*(E3_Consommateurs!$D21=O$42)*E3_Consommateurs!$D20</f>
        <v>343</v>
      </c>
      <c r="P45" s="325">
        <f>E3_Consommateurs!$D18*(E3_Consommateurs!$D21&lt;P$42)+E3_Consommateurs!$D18*(E3_Consommateurs!$D21=P$42)*E3_Consommateurs!$D20</f>
        <v>343</v>
      </c>
      <c r="Q45" s="325">
        <f>E3_Consommateurs!$D18*(E3_Consommateurs!$D21&lt;Q$42)+E3_Consommateurs!$D18*(E3_Consommateurs!$D21=Q$42)*E3_Consommateurs!$D20</f>
        <v>343</v>
      </c>
      <c r="R45" s="325">
        <f>E3_Consommateurs!$D18*(E3_Consommateurs!$D21&lt;R$42)+E3_Consommateurs!$D18*(E3_Consommateurs!$D21=R$42)*E3_Consommateurs!$D20</f>
        <v>343</v>
      </c>
      <c r="S45" s="325">
        <f>E3_Consommateurs!$D18*(E3_Consommateurs!$D21&lt;S$42)+E3_Consommateurs!$D18*(E3_Consommateurs!$D21=S$42)*E3_Consommateurs!$D20</f>
        <v>343</v>
      </c>
    </row>
    <row r="46" spans="1:19" x14ac:dyDescent="0.2">
      <c r="A46" s="300"/>
      <c r="B46" s="304" t="str">
        <f t="shared" ref="B46:B59" si="2">C10</f>
        <v>Chancellerie municipale</v>
      </c>
      <c r="C46" s="304" t="s">
        <v>454</v>
      </c>
      <c r="D46" s="325">
        <f>E3_Consommateurs!$E18*(E3_Consommateurs!$E21&lt;D$42)+E3_Consommateurs!$E18*(E3_Consommateurs!$E21=D$42)*E3_Consommateurs!$E20</f>
        <v>63</v>
      </c>
      <c r="E46" s="325">
        <f>E3_Consommateurs!$E18*(E3_Consommateurs!$E21&lt;E$42)+E3_Consommateurs!$E18*(E3_Consommateurs!$E21=E$42)*E3_Consommateurs!$E20</f>
        <v>126</v>
      </c>
      <c r="F46" s="325">
        <f>E3_Consommateurs!$E18*(E3_Consommateurs!$E21&lt;F$42)+E3_Consommateurs!$E18*(E3_Consommateurs!$E21=F$42)*E3_Consommateurs!$E20</f>
        <v>126</v>
      </c>
      <c r="G46" s="325">
        <f>E3_Consommateurs!$E18*(E3_Consommateurs!$E21&lt;G$42)+E3_Consommateurs!$E18*(E3_Consommateurs!$E21=G$42)*E3_Consommateurs!$E20</f>
        <v>126</v>
      </c>
      <c r="H46" s="325">
        <f>E3_Consommateurs!$E18*(E3_Consommateurs!$E21&lt;H$42)+E3_Consommateurs!$E18*(E3_Consommateurs!$E21=H$42)*E3_Consommateurs!$E20</f>
        <v>126</v>
      </c>
      <c r="I46" s="325">
        <f>E3_Consommateurs!$E18*(E3_Consommateurs!$E21&lt;I$42)+E3_Consommateurs!$E18*(E3_Consommateurs!$E21=I$42)*E3_Consommateurs!$E20</f>
        <v>126</v>
      </c>
      <c r="J46" s="325">
        <f>E3_Consommateurs!$E18*(E3_Consommateurs!$E21&lt;J$42)+E3_Consommateurs!$E18*(E3_Consommateurs!$E21=J$42)*E3_Consommateurs!$E20</f>
        <v>126</v>
      </c>
      <c r="K46" s="325">
        <f>E3_Consommateurs!$E18*(E3_Consommateurs!$E21&lt;K$42)+E3_Consommateurs!$E18*(E3_Consommateurs!$E21=K$42)*E3_Consommateurs!$E20</f>
        <v>126</v>
      </c>
      <c r="L46" s="325">
        <f>E3_Consommateurs!$E18*(E3_Consommateurs!$E21&lt;L$42)+E3_Consommateurs!$E18*(E3_Consommateurs!$E21=L$42)*E3_Consommateurs!$E20</f>
        <v>126</v>
      </c>
      <c r="M46" s="325">
        <f>E3_Consommateurs!$E18*(E3_Consommateurs!$E21&lt;M$42)+E3_Consommateurs!$E18*(E3_Consommateurs!$E21=M$42)*E3_Consommateurs!$E20</f>
        <v>126</v>
      </c>
      <c r="N46" s="325">
        <f>E3_Consommateurs!$E18*(E3_Consommateurs!$E21&lt;N$42)+E3_Consommateurs!$E18*(E3_Consommateurs!$E21=N$42)*E3_Consommateurs!$E20</f>
        <v>126</v>
      </c>
      <c r="O46" s="325">
        <f>E3_Consommateurs!$E18*(E3_Consommateurs!$E21&lt;O$42)+E3_Consommateurs!$E18*(E3_Consommateurs!$E21=O$42)*E3_Consommateurs!$E20</f>
        <v>126</v>
      </c>
      <c r="P46" s="325">
        <f>E3_Consommateurs!$E18*(E3_Consommateurs!$E21&lt;P$42)+E3_Consommateurs!$E18*(E3_Consommateurs!$E21=P$42)*E3_Consommateurs!$E20</f>
        <v>126</v>
      </c>
      <c r="Q46" s="325">
        <f>E3_Consommateurs!$E18*(E3_Consommateurs!$E21&lt;Q$42)+E3_Consommateurs!$E18*(E3_Consommateurs!$E21=Q$42)*E3_Consommateurs!$E20</f>
        <v>126</v>
      </c>
      <c r="R46" s="325">
        <f>E3_Consommateurs!$E18*(E3_Consommateurs!$E21&lt;R$42)+E3_Consommateurs!$E18*(E3_Consommateurs!$E21=R$42)*E3_Consommateurs!$E20</f>
        <v>126</v>
      </c>
      <c r="S46" s="325">
        <f>E3_Consommateurs!$E18*(E3_Consommateurs!$E21&lt;S$42)+E3_Consommateurs!$E18*(E3_Consommateurs!$E21=S$42)*E3_Consommateurs!$E20</f>
        <v>126</v>
      </c>
    </row>
    <row r="47" spans="1:19" x14ac:dyDescent="0.2">
      <c r="A47" s="300"/>
      <c r="B47" s="304" t="str">
        <f t="shared" si="2"/>
        <v>École maternelle</v>
      </c>
      <c r="C47" s="304" t="s">
        <v>454</v>
      </c>
      <c r="D47" s="325">
        <f>E3_Consommateurs!$F18*(E3_Consommateurs!$F21&lt;D$42)+E3_Consommateurs!$F18*(E3_Consommateurs!$F21=D$42)*E3_Consommateurs!$F20</f>
        <v>22</v>
      </c>
      <c r="E47" s="325">
        <f>E3_Consommateurs!$F18*(E3_Consommateurs!$F21&lt;E$42)+E3_Consommateurs!$F18*(E3_Consommateurs!$F21=E$42)*E3_Consommateurs!$F20</f>
        <v>44</v>
      </c>
      <c r="F47" s="325">
        <f>E3_Consommateurs!$F18*(E3_Consommateurs!$F21&lt;F$42)+E3_Consommateurs!$F18*(E3_Consommateurs!$F21=F$42)*E3_Consommateurs!$F20</f>
        <v>44</v>
      </c>
      <c r="G47" s="325">
        <f>E3_Consommateurs!$F18*(E3_Consommateurs!$F21&lt;G$42)+E3_Consommateurs!$F18*(E3_Consommateurs!$F21=G$42)*E3_Consommateurs!$F20</f>
        <v>44</v>
      </c>
      <c r="H47" s="325">
        <f>E3_Consommateurs!$F18*(E3_Consommateurs!$F21&lt;H$42)+E3_Consommateurs!$F18*(E3_Consommateurs!$F21=H$42)*E3_Consommateurs!$F20</f>
        <v>44</v>
      </c>
      <c r="I47" s="325">
        <f>E3_Consommateurs!$F18*(E3_Consommateurs!$F21&lt;I$42)+E3_Consommateurs!$F18*(E3_Consommateurs!$F21=I$42)*E3_Consommateurs!$F20</f>
        <v>44</v>
      </c>
      <c r="J47" s="325">
        <f>E3_Consommateurs!$F18*(E3_Consommateurs!$F21&lt;J$42)+E3_Consommateurs!$F18*(E3_Consommateurs!$F21=J$42)*E3_Consommateurs!$F20</f>
        <v>44</v>
      </c>
      <c r="K47" s="325">
        <f>E3_Consommateurs!$F18*(E3_Consommateurs!$F21&lt;K$42)+E3_Consommateurs!$F18*(E3_Consommateurs!$F21=K$42)*E3_Consommateurs!$F20</f>
        <v>44</v>
      </c>
      <c r="L47" s="325">
        <f>E3_Consommateurs!$F18*(E3_Consommateurs!$F21&lt;L$42)+E3_Consommateurs!$F18*(E3_Consommateurs!$F21=L$42)*E3_Consommateurs!$F20</f>
        <v>44</v>
      </c>
      <c r="M47" s="325">
        <f>E3_Consommateurs!$F18*(E3_Consommateurs!$F21&lt;M$42)+E3_Consommateurs!$F18*(E3_Consommateurs!$F21=M$42)*E3_Consommateurs!$F20</f>
        <v>44</v>
      </c>
      <c r="N47" s="325">
        <f>E3_Consommateurs!$F18*(E3_Consommateurs!$F21&lt;N$42)+E3_Consommateurs!$F18*(E3_Consommateurs!$F21=N$42)*E3_Consommateurs!$F20</f>
        <v>44</v>
      </c>
      <c r="O47" s="325">
        <f>E3_Consommateurs!$F18*(E3_Consommateurs!$F21&lt;O$42)+E3_Consommateurs!$F18*(E3_Consommateurs!$F21=O$42)*E3_Consommateurs!$F20</f>
        <v>44</v>
      </c>
      <c r="P47" s="325">
        <f>E3_Consommateurs!$F18*(E3_Consommateurs!$F21&lt;P$42)+E3_Consommateurs!$F18*(E3_Consommateurs!$F21=P$42)*E3_Consommateurs!$F20</f>
        <v>44</v>
      </c>
      <c r="Q47" s="325">
        <f>E3_Consommateurs!$F18*(E3_Consommateurs!$F21&lt;Q$42)+E3_Consommateurs!$F18*(E3_Consommateurs!$F21=Q$42)*E3_Consommateurs!$F20</f>
        <v>44</v>
      </c>
      <c r="R47" s="325">
        <f>E3_Consommateurs!$F18*(E3_Consommateurs!$F21&lt;R$42)+E3_Consommateurs!$F18*(E3_Consommateurs!$F21=R$42)*E3_Consommateurs!$F20</f>
        <v>44</v>
      </c>
      <c r="S47" s="325">
        <f>E3_Consommateurs!$F18*(E3_Consommateurs!$F21&lt;S$42)+E3_Consommateurs!$F18*(E3_Consommateurs!$F21=S$42)*E3_Consommateurs!$F20</f>
        <v>44</v>
      </c>
    </row>
    <row r="48" spans="1:19" x14ac:dyDescent="0.2">
      <c r="A48" s="300"/>
      <c r="B48" s="304" t="str">
        <f t="shared" si="2"/>
        <v>Lotissement</v>
      </c>
      <c r="C48" s="304" t="s">
        <v>454</v>
      </c>
      <c r="D48" s="325">
        <f>E3_Consommateurs!$G18*(E3_Consommateurs!$G21&lt;D$42)+E3_Consommateurs!$G18*(E3_Consommateurs!$G21=D$42)*E3_Consommateurs!$G20</f>
        <v>0</v>
      </c>
      <c r="E48" s="325">
        <f>E3_Consommateurs!$G18*(E3_Consommateurs!$G21&lt;E$42)+E3_Consommateurs!$G18*(E3_Consommateurs!$G21=E$42)*E3_Consommateurs!$G20</f>
        <v>66</v>
      </c>
      <c r="F48" s="325">
        <f>E3_Consommateurs!$G18*(E3_Consommateurs!$G21&lt;F$42)+E3_Consommateurs!$G18*(E3_Consommateurs!$G21=F$42)*E3_Consommateurs!$G20</f>
        <v>132</v>
      </c>
      <c r="G48" s="325">
        <f>E3_Consommateurs!$G18*(E3_Consommateurs!$G21&lt;G$42)+E3_Consommateurs!$G18*(E3_Consommateurs!$G21=G$42)*E3_Consommateurs!$G20</f>
        <v>132</v>
      </c>
      <c r="H48" s="325">
        <f>E3_Consommateurs!$G18*(E3_Consommateurs!$G21&lt;H$42)+E3_Consommateurs!$G18*(E3_Consommateurs!$G21=H$42)*E3_Consommateurs!$G20</f>
        <v>132</v>
      </c>
      <c r="I48" s="325">
        <f>E3_Consommateurs!$G18*(E3_Consommateurs!$G21&lt;I$42)+E3_Consommateurs!$G18*(E3_Consommateurs!$G21=I$42)*E3_Consommateurs!$G20</f>
        <v>132</v>
      </c>
      <c r="J48" s="325">
        <f>E3_Consommateurs!$G18*(E3_Consommateurs!$G21&lt;J$42)+E3_Consommateurs!$G18*(E3_Consommateurs!$G21=J$42)*E3_Consommateurs!$G20</f>
        <v>132</v>
      </c>
      <c r="K48" s="325">
        <f>E3_Consommateurs!$G18*(E3_Consommateurs!$G21&lt;K$42)+E3_Consommateurs!$G18*(E3_Consommateurs!$G21=K$42)*E3_Consommateurs!$G20</f>
        <v>132</v>
      </c>
      <c r="L48" s="325">
        <f>E3_Consommateurs!$G18*(E3_Consommateurs!$G21&lt;L$42)+E3_Consommateurs!$G18*(E3_Consommateurs!$G21=L$42)*E3_Consommateurs!$G20</f>
        <v>132</v>
      </c>
      <c r="M48" s="325">
        <f>E3_Consommateurs!$G18*(E3_Consommateurs!$G21&lt;M$42)+E3_Consommateurs!$G18*(E3_Consommateurs!$G21=M$42)*E3_Consommateurs!$G20</f>
        <v>132</v>
      </c>
      <c r="N48" s="325">
        <f>E3_Consommateurs!$G18*(E3_Consommateurs!$G21&lt;N$42)+E3_Consommateurs!$G18*(E3_Consommateurs!$G21=N$42)*E3_Consommateurs!$G20</f>
        <v>132</v>
      </c>
      <c r="O48" s="325">
        <f>E3_Consommateurs!$G18*(E3_Consommateurs!$G21&lt;O$42)+E3_Consommateurs!$G18*(E3_Consommateurs!$G21=O$42)*E3_Consommateurs!$G20</f>
        <v>132</v>
      </c>
      <c r="P48" s="325">
        <f>E3_Consommateurs!$G18*(E3_Consommateurs!$G21&lt;P$42)+E3_Consommateurs!$G18*(E3_Consommateurs!$G21=P$42)*E3_Consommateurs!$G20</f>
        <v>132</v>
      </c>
      <c r="Q48" s="325">
        <f>E3_Consommateurs!$G18*(E3_Consommateurs!$G21&lt;Q$42)+E3_Consommateurs!$G18*(E3_Consommateurs!$G21=Q$42)*E3_Consommateurs!$G20</f>
        <v>132</v>
      </c>
      <c r="R48" s="325">
        <f>E3_Consommateurs!$G18*(E3_Consommateurs!$G21&lt;R$42)+E3_Consommateurs!$G18*(E3_Consommateurs!$G21=R$42)*E3_Consommateurs!$G20</f>
        <v>132</v>
      </c>
      <c r="S48" s="325">
        <f>E3_Consommateurs!$G18*(E3_Consommateurs!$G21&lt;S$42)+E3_Consommateurs!$G18*(E3_Consommateurs!$G21=S$42)*E3_Consommateurs!$G20</f>
        <v>132</v>
      </c>
    </row>
    <row r="49" spans="1:23" x14ac:dyDescent="0.2">
      <c r="A49" s="300"/>
      <c r="B49" s="304" t="str">
        <f t="shared" si="2"/>
        <v>Lotissement</v>
      </c>
      <c r="C49" s="304" t="s">
        <v>454</v>
      </c>
      <c r="D49" s="325">
        <f>E3_Consommateurs!$H18*(E3_Consommateurs!$H21&lt;D$42)+E3_Consommateurs!$H18*(E3_Consommateurs!$H21=D$42)*E3_Consommateurs!$H20</f>
        <v>0</v>
      </c>
      <c r="E49" s="325">
        <f>E3_Consommateurs!$H18*(E3_Consommateurs!$H21&lt;E$42)+E3_Consommateurs!$H18*(E3_Consommateurs!$H21=E$42)*E3_Consommateurs!$H20</f>
        <v>106</v>
      </c>
      <c r="F49" s="325">
        <f>E3_Consommateurs!$H18*(E3_Consommateurs!$H21&lt;F$42)+E3_Consommateurs!$H18*(E3_Consommateurs!$H21=F$42)*E3_Consommateurs!$H20</f>
        <v>106</v>
      </c>
      <c r="G49" s="325">
        <f>E3_Consommateurs!$H18*(E3_Consommateurs!$H21&lt;G$42)+E3_Consommateurs!$H18*(E3_Consommateurs!$H21=G$42)*E3_Consommateurs!$H20</f>
        <v>106</v>
      </c>
      <c r="H49" s="325">
        <f>E3_Consommateurs!$H18*(E3_Consommateurs!$H21&lt;H$42)+E3_Consommateurs!$H18*(E3_Consommateurs!$H21=H$42)*E3_Consommateurs!$H20</f>
        <v>106</v>
      </c>
      <c r="I49" s="325">
        <f>E3_Consommateurs!$H18*(E3_Consommateurs!$H21&lt;I$42)+E3_Consommateurs!$H18*(E3_Consommateurs!$H21=I$42)*E3_Consommateurs!$H20</f>
        <v>106</v>
      </c>
      <c r="J49" s="325">
        <f>E3_Consommateurs!$H18*(E3_Consommateurs!$H21&lt;J$42)+E3_Consommateurs!$H18*(E3_Consommateurs!$H21=J$42)*E3_Consommateurs!$H20</f>
        <v>106</v>
      </c>
      <c r="K49" s="325">
        <f>E3_Consommateurs!$H18*(E3_Consommateurs!$H21&lt;K$42)+E3_Consommateurs!$H18*(E3_Consommateurs!$H21=K$42)*E3_Consommateurs!$H20</f>
        <v>106</v>
      </c>
      <c r="L49" s="325">
        <f>E3_Consommateurs!$H18*(E3_Consommateurs!$H21&lt;L$42)+E3_Consommateurs!$H18*(E3_Consommateurs!$H21=L$42)*E3_Consommateurs!$H20</f>
        <v>106</v>
      </c>
      <c r="M49" s="325">
        <f>E3_Consommateurs!$H18*(E3_Consommateurs!$H21&lt;M$42)+E3_Consommateurs!$H18*(E3_Consommateurs!$H21=M$42)*E3_Consommateurs!$H20</f>
        <v>106</v>
      </c>
      <c r="N49" s="325">
        <f>E3_Consommateurs!$H18*(E3_Consommateurs!$H21&lt;N$42)+E3_Consommateurs!$H18*(E3_Consommateurs!$H21=N$42)*E3_Consommateurs!$H20</f>
        <v>106</v>
      </c>
      <c r="O49" s="325">
        <f>E3_Consommateurs!$H18*(E3_Consommateurs!$H21&lt;O$42)+E3_Consommateurs!$H18*(E3_Consommateurs!$H21=O$42)*E3_Consommateurs!$H20</f>
        <v>106</v>
      </c>
      <c r="P49" s="325">
        <f>E3_Consommateurs!$H18*(E3_Consommateurs!$H21&lt;P$42)+E3_Consommateurs!$H18*(E3_Consommateurs!$H21=P$42)*E3_Consommateurs!$H20</f>
        <v>106</v>
      </c>
      <c r="Q49" s="325">
        <f>E3_Consommateurs!$H18*(E3_Consommateurs!$H21&lt;Q$42)+E3_Consommateurs!$H18*(E3_Consommateurs!$H21=Q$42)*E3_Consommateurs!$H20</f>
        <v>106</v>
      </c>
      <c r="R49" s="325">
        <f>E3_Consommateurs!$H18*(E3_Consommateurs!$H21&lt;R$42)+E3_Consommateurs!$H18*(E3_Consommateurs!$H21=R$42)*E3_Consommateurs!$H20</f>
        <v>106</v>
      </c>
      <c r="S49" s="325">
        <f>E3_Consommateurs!$H18*(E3_Consommateurs!$H21&lt;S$42)+E3_Consommateurs!$H18*(E3_Consommateurs!$H21=S$42)*E3_Consommateurs!$H20</f>
        <v>106</v>
      </c>
      <c r="T49" s="300"/>
      <c r="U49" s="300"/>
      <c r="V49" s="300"/>
      <c r="W49" s="300"/>
    </row>
    <row r="50" spans="1:23" x14ac:dyDescent="0.2">
      <c r="A50" s="300"/>
      <c r="B50" s="304" t="str">
        <f t="shared" si="2"/>
        <v>Lotissement</v>
      </c>
      <c r="C50" s="304" t="s">
        <v>454</v>
      </c>
      <c r="D50" s="325">
        <f>E3_Consommateurs!$I18*(E3_Consommateurs!$I21&lt;D$42)+E3_Consommateurs!$I18*(E3_Consommateurs!$I21=D$42)*E3_Consommateurs!$I20</f>
        <v>0</v>
      </c>
      <c r="E50" s="325">
        <f>E3_Consommateurs!$I18*(E3_Consommateurs!$I21&lt;E$42)+E3_Consommateurs!$I18*(E3_Consommateurs!$I21=E$42)*E3_Consommateurs!$I20</f>
        <v>50.5</v>
      </c>
      <c r="F50" s="325">
        <f>E3_Consommateurs!$I18*(E3_Consommateurs!$I21&lt;F$42)+E3_Consommateurs!$I18*(E3_Consommateurs!$I21=F$42)*E3_Consommateurs!$I20</f>
        <v>101</v>
      </c>
      <c r="G50" s="325">
        <f>E3_Consommateurs!$I18*(E3_Consommateurs!$I21&lt;G$42)+E3_Consommateurs!$I18*(E3_Consommateurs!$I21=G$42)*E3_Consommateurs!$I20</f>
        <v>101</v>
      </c>
      <c r="H50" s="325">
        <f>E3_Consommateurs!$I18*(E3_Consommateurs!$I21&lt;H$42)+E3_Consommateurs!$I18*(E3_Consommateurs!$I21=H$42)*E3_Consommateurs!$I20</f>
        <v>101</v>
      </c>
      <c r="I50" s="325">
        <f>E3_Consommateurs!$I18*(E3_Consommateurs!$I21&lt;I$42)+E3_Consommateurs!$I18*(E3_Consommateurs!$I21=I$42)*E3_Consommateurs!$I20</f>
        <v>101</v>
      </c>
      <c r="J50" s="325">
        <f>E3_Consommateurs!$I18*(E3_Consommateurs!$I21&lt;J$42)+E3_Consommateurs!$I18*(E3_Consommateurs!$I21=J$42)*E3_Consommateurs!$I20</f>
        <v>101</v>
      </c>
      <c r="K50" s="325">
        <f>E3_Consommateurs!$I18*(E3_Consommateurs!$I21&lt;K$42)+E3_Consommateurs!$I18*(E3_Consommateurs!$I21=K$42)*E3_Consommateurs!$I20</f>
        <v>101</v>
      </c>
      <c r="L50" s="325">
        <f>E3_Consommateurs!$I18*(E3_Consommateurs!$I21&lt;L$42)+E3_Consommateurs!$I18*(E3_Consommateurs!$I21=L$42)*E3_Consommateurs!$I20</f>
        <v>101</v>
      </c>
      <c r="M50" s="325">
        <f>E3_Consommateurs!$I18*(E3_Consommateurs!$I21&lt;M$42)+E3_Consommateurs!$I18*(E3_Consommateurs!$I21=M$42)*E3_Consommateurs!$I20</f>
        <v>101</v>
      </c>
      <c r="N50" s="325">
        <f>E3_Consommateurs!$I18*(E3_Consommateurs!$I21&lt;N$42)+E3_Consommateurs!$I18*(E3_Consommateurs!$I21=N$42)*E3_Consommateurs!$I20</f>
        <v>101</v>
      </c>
      <c r="O50" s="325">
        <f>E3_Consommateurs!$I18*(E3_Consommateurs!$I21&lt;O$42)+E3_Consommateurs!$I18*(E3_Consommateurs!$I21=O$42)*E3_Consommateurs!$I20</f>
        <v>101</v>
      </c>
      <c r="P50" s="325">
        <f>E3_Consommateurs!$I18*(E3_Consommateurs!$I21&lt;P$42)+E3_Consommateurs!$I18*(E3_Consommateurs!$I21=P$42)*E3_Consommateurs!$I20</f>
        <v>101</v>
      </c>
      <c r="Q50" s="325">
        <f>E3_Consommateurs!$I18*(E3_Consommateurs!$I21&lt;Q$42)+E3_Consommateurs!$I18*(E3_Consommateurs!$I21=Q$42)*E3_Consommateurs!$I20</f>
        <v>101</v>
      </c>
      <c r="R50" s="325">
        <f>E3_Consommateurs!$I18*(E3_Consommateurs!$I21&lt;R$42)+E3_Consommateurs!$I18*(E3_Consommateurs!$I21=R$42)*E3_Consommateurs!$I20</f>
        <v>101</v>
      </c>
      <c r="S50" s="325">
        <f>E3_Consommateurs!$I18*(E3_Consommateurs!$I21&lt;S$42)+E3_Consommateurs!$I18*(E3_Consommateurs!$I21=S$42)*E3_Consommateurs!$I20</f>
        <v>101</v>
      </c>
      <c r="T50" s="300"/>
      <c r="U50" s="300"/>
      <c r="V50" s="300"/>
      <c r="W50" s="300"/>
    </row>
    <row r="51" spans="1:23" x14ac:dyDescent="0.2">
      <c r="A51" s="300"/>
      <c r="B51" s="304" t="str">
        <f t="shared" si="2"/>
        <v>Lotissement</v>
      </c>
      <c r="C51" s="304" t="s">
        <v>454</v>
      </c>
      <c r="D51" s="325">
        <f>E3_Consommateurs!$J18*(E3_Consommateurs!$J21&lt;D$42)+E3_Consommateurs!$J18*(E3_Consommateurs!$J21=D$42)*E3_Consommateurs!$J20</f>
        <v>0</v>
      </c>
      <c r="E51" s="325">
        <f>E3_Consommateurs!$J18*(E3_Consommateurs!$J21&lt;E$42)+E3_Consommateurs!$J18*(E3_Consommateurs!$J21=E$42)*E3_Consommateurs!$J20</f>
        <v>56.5</v>
      </c>
      <c r="F51" s="325">
        <f>E3_Consommateurs!$J18*(E3_Consommateurs!$J21&lt;F$42)+E3_Consommateurs!$J18*(E3_Consommateurs!$J21=F$42)*E3_Consommateurs!$J20</f>
        <v>113</v>
      </c>
      <c r="G51" s="325">
        <f>E3_Consommateurs!$J18*(E3_Consommateurs!$J21&lt;G$42)+E3_Consommateurs!$J18*(E3_Consommateurs!$J21=G$42)*E3_Consommateurs!$J20</f>
        <v>113</v>
      </c>
      <c r="H51" s="325">
        <f>E3_Consommateurs!$J18*(E3_Consommateurs!$J21&lt;H$42)+E3_Consommateurs!$J18*(E3_Consommateurs!$J21=H$42)*E3_Consommateurs!$J20</f>
        <v>113</v>
      </c>
      <c r="I51" s="325">
        <f>E3_Consommateurs!$J18*(E3_Consommateurs!$J21&lt;I$42)+E3_Consommateurs!$J18*(E3_Consommateurs!$J21=I$42)*E3_Consommateurs!$J20</f>
        <v>113</v>
      </c>
      <c r="J51" s="325">
        <f>E3_Consommateurs!$J18*(E3_Consommateurs!$J21&lt;J$42)+E3_Consommateurs!$J18*(E3_Consommateurs!$J21=J$42)*E3_Consommateurs!$J20</f>
        <v>113</v>
      </c>
      <c r="K51" s="325">
        <f>E3_Consommateurs!$J18*(E3_Consommateurs!$J21&lt;K$42)+E3_Consommateurs!$J18*(E3_Consommateurs!$J21=K$42)*E3_Consommateurs!$J20</f>
        <v>113</v>
      </c>
      <c r="L51" s="325">
        <f>E3_Consommateurs!$J18*(E3_Consommateurs!$J21&lt;L$42)+E3_Consommateurs!$J18*(E3_Consommateurs!$J21=L$42)*E3_Consommateurs!$J20</f>
        <v>113</v>
      </c>
      <c r="M51" s="325">
        <f>E3_Consommateurs!$J18*(E3_Consommateurs!$J21&lt;M$42)+E3_Consommateurs!$J18*(E3_Consommateurs!$J21=M$42)*E3_Consommateurs!$J20</f>
        <v>113</v>
      </c>
      <c r="N51" s="325">
        <f>E3_Consommateurs!$J18*(E3_Consommateurs!$J21&lt;N$42)+E3_Consommateurs!$J18*(E3_Consommateurs!$J21=N$42)*E3_Consommateurs!$J20</f>
        <v>113</v>
      </c>
      <c r="O51" s="325">
        <f>E3_Consommateurs!$J18*(E3_Consommateurs!$J21&lt;O$42)+E3_Consommateurs!$J18*(E3_Consommateurs!$J21=O$42)*E3_Consommateurs!$J20</f>
        <v>113</v>
      </c>
      <c r="P51" s="325">
        <f>E3_Consommateurs!$J18*(E3_Consommateurs!$J21&lt;P$42)+E3_Consommateurs!$J18*(E3_Consommateurs!$J21=P$42)*E3_Consommateurs!$J20</f>
        <v>113</v>
      </c>
      <c r="Q51" s="325">
        <f>E3_Consommateurs!$J18*(E3_Consommateurs!$J21&lt;Q$42)+E3_Consommateurs!$J18*(E3_Consommateurs!$J21=Q$42)*E3_Consommateurs!$J20</f>
        <v>113</v>
      </c>
      <c r="R51" s="325">
        <f>E3_Consommateurs!$J18*(E3_Consommateurs!$J21&lt;R$42)+E3_Consommateurs!$J18*(E3_Consommateurs!$J21=R$42)*E3_Consommateurs!$J20</f>
        <v>113</v>
      </c>
      <c r="S51" s="325">
        <f>E3_Consommateurs!$J18*(E3_Consommateurs!$J21&lt;S$42)+E3_Consommateurs!$J18*(E3_Consommateurs!$J21=S$42)*E3_Consommateurs!$J20</f>
        <v>113</v>
      </c>
      <c r="T51" s="300"/>
      <c r="U51" s="300"/>
      <c r="V51" s="300"/>
      <c r="W51" s="300"/>
    </row>
    <row r="52" spans="1:23" x14ac:dyDescent="0.2">
      <c r="A52" s="300"/>
      <c r="B52" s="304" t="str">
        <f t="shared" si="2"/>
        <v>Lotissement</v>
      </c>
      <c r="C52" s="304" t="s">
        <v>454</v>
      </c>
      <c r="D52" s="325">
        <f>E3_Consommateurs!$K18*(E3_Consommateurs!$K21&lt;D$42)+E3_Consommateurs!$K18*(E3_Consommateurs!$K21=D$42)*E3_Consommateurs!$K20</f>
        <v>0</v>
      </c>
      <c r="E52" s="325">
        <f>E3_Consommateurs!$K18*(E3_Consommateurs!$K21&lt;E$42)+E3_Consommateurs!$K18*(E3_Consommateurs!$K21=E$42)*E3_Consommateurs!$K20</f>
        <v>44</v>
      </c>
      <c r="F52" s="325">
        <f>E3_Consommateurs!$K18*(E3_Consommateurs!$K21&lt;F$42)+E3_Consommateurs!$K18*(E3_Consommateurs!$K21=F$42)*E3_Consommateurs!$K20</f>
        <v>88</v>
      </c>
      <c r="G52" s="325">
        <f>E3_Consommateurs!$K18*(E3_Consommateurs!$K21&lt;G$42)+E3_Consommateurs!$K18*(E3_Consommateurs!$K21=G$42)*E3_Consommateurs!$K20</f>
        <v>88</v>
      </c>
      <c r="H52" s="325">
        <f>E3_Consommateurs!$K18*(E3_Consommateurs!$K21&lt;H$42)+E3_Consommateurs!$K18*(E3_Consommateurs!$K21=H$42)*E3_Consommateurs!$K20</f>
        <v>88</v>
      </c>
      <c r="I52" s="325">
        <f>E3_Consommateurs!$K18*(E3_Consommateurs!$K21&lt;I$42)+E3_Consommateurs!$K18*(E3_Consommateurs!$K21=I$42)*E3_Consommateurs!$K20</f>
        <v>88</v>
      </c>
      <c r="J52" s="325">
        <f>E3_Consommateurs!$K18*(E3_Consommateurs!$K21&lt;J$42)+E3_Consommateurs!$K18*(E3_Consommateurs!$K21=J$42)*E3_Consommateurs!$K20</f>
        <v>88</v>
      </c>
      <c r="K52" s="325">
        <f>E3_Consommateurs!$K18*(E3_Consommateurs!$K21&lt;K$42)+E3_Consommateurs!$K18*(E3_Consommateurs!$K21=K$42)*E3_Consommateurs!$K20</f>
        <v>88</v>
      </c>
      <c r="L52" s="325">
        <f>E3_Consommateurs!$K18*(E3_Consommateurs!$K21&lt;L$42)+E3_Consommateurs!$K18*(E3_Consommateurs!$K21=L$42)*E3_Consommateurs!$K20</f>
        <v>88</v>
      </c>
      <c r="M52" s="325">
        <f>E3_Consommateurs!$K18*(E3_Consommateurs!$K21&lt;M$42)+E3_Consommateurs!$K18*(E3_Consommateurs!$K21=M$42)*E3_Consommateurs!$K20</f>
        <v>88</v>
      </c>
      <c r="N52" s="325">
        <f>E3_Consommateurs!$K18*(E3_Consommateurs!$K21&lt;N$42)+E3_Consommateurs!$K18*(E3_Consommateurs!$K21=N$42)*E3_Consommateurs!$K20</f>
        <v>88</v>
      </c>
      <c r="O52" s="325">
        <f>E3_Consommateurs!$K18*(E3_Consommateurs!$K21&lt;O$42)+E3_Consommateurs!$K18*(E3_Consommateurs!$K21=O$42)*E3_Consommateurs!$K20</f>
        <v>88</v>
      </c>
      <c r="P52" s="325">
        <f>E3_Consommateurs!$K18*(E3_Consommateurs!$K21&lt;P$42)+E3_Consommateurs!$K18*(E3_Consommateurs!$K21=P$42)*E3_Consommateurs!$K20</f>
        <v>88</v>
      </c>
      <c r="Q52" s="325">
        <f>E3_Consommateurs!$K18*(E3_Consommateurs!$K21&lt;Q$42)+E3_Consommateurs!$K18*(E3_Consommateurs!$K21=Q$42)*E3_Consommateurs!$K20</f>
        <v>88</v>
      </c>
      <c r="R52" s="325">
        <f>E3_Consommateurs!$K18*(E3_Consommateurs!$K21&lt;R$42)+E3_Consommateurs!$K18*(E3_Consommateurs!$K21=R$42)*E3_Consommateurs!$K20</f>
        <v>88</v>
      </c>
      <c r="S52" s="325">
        <f>E3_Consommateurs!$K18*(E3_Consommateurs!$K21&lt;S$42)+E3_Consommateurs!$K18*(E3_Consommateurs!$K21=S$42)*E3_Consommateurs!$K20</f>
        <v>88</v>
      </c>
      <c r="T52" s="300"/>
      <c r="U52" s="300"/>
      <c r="V52" s="300"/>
      <c r="W52" s="300"/>
    </row>
    <row r="53" spans="1:23" x14ac:dyDescent="0.2">
      <c r="A53" s="300"/>
      <c r="B53" s="304" t="str">
        <f t="shared" si="2"/>
        <v>Lotissement</v>
      </c>
      <c r="C53" s="304" t="s">
        <v>454</v>
      </c>
      <c r="D53" s="325">
        <f>E3_Consommateurs!$L18*(E3_Consommateurs!$L21&lt;D$42)+E3_Consommateurs!$L18*(E3_Consommateurs!$L21=D$42)*E3_Consommateurs!$L20</f>
        <v>0</v>
      </c>
      <c r="E53" s="325">
        <f>E3_Consommateurs!$L18*(E3_Consommateurs!$L21&lt;E$42)+E3_Consommateurs!$L18*(E3_Consommateurs!$L21=E$42)*E3_Consommateurs!$L20</f>
        <v>80</v>
      </c>
      <c r="F53" s="325">
        <f>E3_Consommateurs!$L18*(E3_Consommateurs!$L21&lt;F$42)+E3_Consommateurs!$L18*(E3_Consommateurs!$L21=F$42)*E3_Consommateurs!$L20</f>
        <v>80</v>
      </c>
      <c r="G53" s="325">
        <f>E3_Consommateurs!$L18*(E3_Consommateurs!$L21&lt;G$42)+E3_Consommateurs!$L18*(E3_Consommateurs!$L21=G$42)*E3_Consommateurs!$L20</f>
        <v>80</v>
      </c>
      <c r="H53" s="325">
        <f>E3_Consommateurs!$L18*(E3_Consommateurs!$L21&lt;H$42)+E3_Consommateurs!$L18*(E3_Consommateurs!$L21=H$42)*E3_Consommateurs!$L20</f>
        <v>80</v>
      </c>
      <c r="I53" s="325">
        <f>E3_Consommateurs!$L18*(E3_Consommateurs!$L21&lt;I$42)+E3_Consommateurs!$L18*(E3_Consommateurs!$L21=I$42)*E3_Consommateurs!$L20</f>
        <v>80</v>
      </c>
      <c r="J53" s="325">
        <f>E3_Consommateurs!$L18*(E3_Consommateurs!$L21&lt;J$42)+E3_Consommateurs!$L18*(E3_Consommateurs!$L21=J$42)*E3_Consommateurs!$L20</f>
        <v>80</v>
      </c>
      <c r="K53" s="325">
        <f>E3_Consommateurs!$L18*(E3_Consommateurs!$L21&lt;K$42)+E3_Consommateurs!$L18*(E3_Consommateurs!$L21=K$42)*E3_Consommateurs!$L20</f>
        <v>80</v>
      </c>
      <c r="L53" s="325">
        <f>E3_Consommateurs!$L18*(E3_Consommateurs!$L21&lt;L$42)+E3_Consommateurs!$L18*(E3_Consommateurs!$L21=L$42)*E3_Consommateurs!$L20</f>
        <v>80</v>
      </c>
      <c r="M53" s="325">
        <f>E3_Consommateurs!$L18*(E3_Consommateurs!$L21&lt;M$42)+E3_Consommateurs!$L18*(E3_Consommateurs!$L21=M$42)*E3_Consommateurs!$L20</f>
        <v>80</v>
      </c>
      <c r="N53" s="325">
        <f>E3_Consommateurs!$L18*(E3_Consommateurs!$L21&lt;N$42)+E3_Consommateurs!$L18*(E3_Consommateurs!$L21=N$42)*E3_Consommateurs!$L20</f>
        <v>80</v>
      </c>
      <c r="O53" s="325">
        <f>E3_Consommateurs!$L18*(E3_Consommateurs!$L21&lt;O$42)+E3_Consommateurs!$L18*(E3_Consommateurs!$L21=O$42)*E3_Consommateurs!$L20</f>
        <v>80</v>
      </c>
      <c r="P53" s="325">
        <f>E3_Consommateurs!$L18*(E3_Consommateurs!$L21&lt;P$42)+E3_Consommateurs!$L18*(E3_Consommateurs!$L21=P$42)*E3_Consommateurs!$L20</f>
        <v>80</v>
      </c>
      <c r="Q53" s="325">
        <f>E3_Consommateurs!$L18*(E3_Consommateurs!$L21&lt;Q$42)+E3_Consommateurs!$L18*(E3_Consommateurs!$L21=Q$42)*E3_Consommateurs!$L20</f>
        <v>80</v>
      </c>
      <c r="R53" s="325">
        <f>E3_Consommateurs!$L18*(E3_Consommateurs!$L21&lt;R$42)+E3_Consommateurs!$L18*(E3_Consommateurs!$L21=R$42)*E3_Consommateurs!$L20</f>
        <v>80</v>
      </c>
      <c r="S53" s="325">
        <f>E3_Consommateurs!$L18*(E3_Consommateurs!$L21&lt;S$42)+E3_Consommateurs!$L18*(E3_Consommateurs!$L21=S$42)*E3_Consommateurs!$L20</f>
        <v>80</v>
      </c>
      <c r="T53" s="300"/>
      <c r="U53" s="300"/>
      <c r="V53" s="300"/>
      <c r="W53" s="300"/>
    </row>
    <row r="54" spans="1:23" x14ac:dyDescent="0.2">
      <c r="A54" s="300"/>
      <c r="B54" s="304" t="str">
        <f t="shared" si="2"/>
        <v>Lotissement</v>
      </c>
      <c r="C54" s="304" t="s">
        <v>454</v>
      </c>
      <c r="D54" s="325">
        <f>E3_Consommateurs!$M18*(E3_Consommateurs!$M21&lt;D$42)+E3_Consommateurs!$M18*(E3_Consommateurs!$M21=D$42)*E3_Consommateurs!$M20</f>
        <v>0</v>
      </c>
      <c r="E54" s="325">
        <f>E3_Consommateurs!$M18*(E3_Consommateurs!$M21&lt;E$42)+E3_Consommateurs!$M18*(E3_Consommateurs!$M21=E$42)*E3_Consommateurs!$M20</f>
        <v>0</v>
      </c>
      <c r="F54" s="325">
        <f>E3_Consommateurs!$M18*(E3_Consommateurs!$M21&lt;F$42)+E3_Consommateurs!$M18*(E3_Consommateurs!$M21=F$42)*E3_Consommateurs!$M20</f>
        <v>76</v>
      </c>
      <c r="G54" s="325">
        <f>E3_Consommateurs!$M18*(E3_Consommateurs!$M21&lt;G$42)+E3_Consommateurs!$M18*(E3_Consommateurs!$M21=G$42)*E3_Consommateurs!$M20</f>
        <v>76</v>
      </c>
      <c r="H54" s="325">
        <f>E3_Consommateurs!$M18*(E3_Consommateurs!$M21&lt;H$42)+E3_Consommateurs!$M18*(E3_Consommateurs!$M21=H$42)*E3_Consommateurs!$M20</f>
        <v>76</v>
      </c>
      <c r="I54" s="325">
        <f>E3_Consommateurs!$M18*(E3_Consommateurs!$M21&lt;I$42)+E3_Consommateurs!$M18*(E3_Consommateurs!$M21=I$42)*E3_Consommateurs!$M20</f>
        <v>76</v>
      </c>
      <c r="J54" s="325">
        <f>E3_Consommateurs!$M18*(E3_Consommateurs!$M21&lt;J$42)+E3_Consommateurs!$M18*(E3_Consommateurs!$M21=J$42)*E3_Consommateurs!$M20</f>
        <v>76</v>
      </c>
      <c r="K54" s="325">
        <f>E3_Consommateurs!$M18*(E3_Consommateurs!$M21&lt;K$42)+E3_Consommateurs!$M18*(E3_Consommateurs!$M21=K$42)*E3_Consommateurs!$M20</f>
        <v>76</v>
      </c>
      <c r="L54" s="325">
        <f>E3_Consommateurs!$M18*(E3_Consommateurs!$M21&lt;L$42)+E3_Consommateurs!$M18*(E3_Consommateurs!$M21=L$42)*E3_Consommateurs!$M20</f>
        <v>76</v>
      </c>
      <c r="M54" s="325">
        <f>E3_Consommateurs!$M18*(E3_Consommateurs!$M21&lt;M$42)+E3_Consommateurs!$M18*(E3_Consommateurs!$M21=M$42)*E3_Consommateurs!$M20</f>
        <v>76</v>
      </c>
      <c r="N54" s="325">
        <f>E3_Consommateurs!$M18*(E3_Consommateurs!$M21&lt;N$42)+E3_Consommateurs!$M18*(E3_Consommateurs!$M21=N$42)*E3_Consommateurs!$M20</f>
        <v>76</v>
      </c>
      <c r="O54" s="325">
        <f>E3_Consommateurs!$M18*(E3_Consommateurs!$M21&lt;O$42)+E3_Consommateurs!$M18*(E3_Consommateurs!$M21=O$42)*E3_Consommateurs!$M20</f>
        <v>76</v>
      </c>
      <c r="P54" s="325">
        <f>E3_Consommateurs!$M18*(E3_Consommateurs!$M21&lt;P$42)+E3_Consommateurs!$M18*(E3_Consommateurs!$M21=P$42)*E3_Consommateurs!$M20</f>
        <v>76</v>
      </c>
      <c r="Q54" s="325">
        <f>E3_Consommateurs!$M18*(E3_Consommateurs!$M21&lt;Q$42)+E3_Consommateurs!$M18*(E3_Consommateurs!$M21=Q$42)*E3_Consommateurs!$M20</f>
        <v>76</v>
      </c>
      <c r="R54" s="325">
        <f>E3_Consommateurs!$M18*(E3_Consommateurs!$M21&lt;R$42)+E3_Consommateurs!$M18*(E3_Consommateurs!$M21=R$42)*E3_Consommateurs!$M20</f>
        <v>76</v>
      </c>
      <c r="S54" s="325">
        <f>E3_Consommateurs!$M18*(E3_Consommateurs!$M21&lt;S$42)+E3_Consommateurs!$M18*(E3_Consommateurs!$M21=S$42)*E3_Consommateurs!$M20</f>
        <v>76</v>
      </c>
      <c r="T54" s="300"/>
      <c r="U54" s="300"/>
      <c r="V54" s="300"/>
      <c r="W54" s="300"/>
    </row>
    <row r="55" spans="1:23" x14ac:dyDescent="0.2">
      <c r="A55" s="300"/>
      <c r="B55" s="304" t="str">
        <f t="shared" si="2"/>
        <v>Lotissement</v>
      </c>
      <c r="C55" s="304" t="s">
        <v>454</v>
      </c>
      <c r="D55" s="325">
        <f>E3_Consommateurs!$N18*(E3_Consommateurs!$N21&lt;D$42)+E3_Consommateurs!$N18*(E3_Consommateurs!$N21=D$42)*E3_Consommateurs!$N20</f>
        <v>0</v>
      </c>
      <c r="E55" s="325">
        <f>E3_Consommateurs!$N18*(E3_Consommateurs!$N21&lt;E$42)+E3_Consommateurs!$N18*(E3_Consommateurs!$N21=E$42)*E3_Consommateurs!$N20</f>
        <v>0</v>
      </c>
      <c r="F55" s="325">
        <f>E3_Consommateurs!$N18*(E3_Consommateurs!$N21&lt;F$42)+E3_Consommateurs!$N18*(E3_Consommateurs!$N21=F$42)*E3_Consommateurs!$N20</f>
        <v>38</v>
      </c>
      <c r="G55" s="325">
        <f>E3_Consommateurs!$N18*(E3_Consommateurs!$N21&lt;G$42)+E3_Consommateurs!$N18*(E3_Consommateurs!$N21=G$42)*E3_Consommateurs!$N20</f>
        <v>76</v>
      </c>
      <c r="H55" s="325">
        <f>E3_Consommateurs!$N18*(E3_Consommateurs!$N21&lt;H$42)+E3_Consommateurs!$N18*(E3_Consommateurs!$N21=H$42)*E3_Consommateurs!$N20</f>
        <v>76</v>
      </c>
      <c r="I55" s="325">
        <f>E3_Consommateurs!$N18*(E3_Consommateurs!$N21&lt;I$42)+E3_Consommateurs!$N18*(E3_Consommateurs!$N21=I$42)*E3_Consommateurs!$N20</f>
        <v>76</v>
      </c>
      <c r="J55" s="325">
        <f>E3_Consommateurs!$N18*(E3_Consommateurs!$N21&lt;J$42)+E3_Consommateurs!$N18*(E3_Consommateurs!$N21=J$42)*E3_Consommateurs!$N20</f>
        <v>76</v>
      </c>
      <c r="K55" s="325">
        <f>E3_Consommateurs!$N18*(E3_Consommateurs!$N21&lt;K$42)+E3_Consommateurs!$N18*(E3_Consommateurs!$N21=K$42)*E3_Consommateurs!$N20</f>
        <v>76</v>
      </c>
      <c r="L55" s="325">
        <f>E3_Consommateurs!$N18*(E3_Consommateurs!$N21&lt;L$42)+E3_Consommateurs!$N18*(E3_Consommateurs!$N21=L$42)*E3_Consommateurs!$N20</f>
        <v>76</v>
      </c>
      <c r="M55" s="325">
        <f>E3_Consommateurs!$N18*(E3_Consommateurs!$N21&lt;M$42)+E3_Consommateurs!$N18*(E3_Consommateurs!$N21=M$42)*E3_Consommateurs!$N20</f>
        <v>76</v>
      </c>
      <c r="N55" s="325">
        <f>E3_Consommateurs!$N18*(E3_Consommateurs!$N21&lt;N$42)+E3_Consommateurs!$N18*(E3_Consommateurs!$N21=N$42)*E3_Consommateurs!$N20</f>
        <v>76</v>
      </c>
      <c r="O55" s="325">
        <f>E3_Consommateurs!$N18*(E3_Consommateurs!$N21&lt;O$42)+E3_Consommateurs!$N18*(E3_Consommateurs!$N21=O$42)*E3_Consommateurs!$N20</f>
        <v>76</v>
      </c>
      <c r="P55" s="325">
        <f>E3_Consommateurs!$N18*(E3_Consommateurs!$N21&lt;P$42)+E3_Consommateurs!$N18*(E3_Consommateurs!$N21=P$42)*E3_Consommateurs!$N20</f>
        <v>76</v>
      </c>
      <c r="Q55" s="325">
        <f>E3_Consommateurs!$N18*(E3_Consommateurs!$N21&lt;Q$42)+E3_Consommateurs!$N18*(E3_Consommateurs!$N21=Q$42)*E3_Consommateurs!$N20</f>
        <v>76</v>
      </c>
      <c r="R55" s="325">
        <f>E3_Consommateurs!$N18*(E3_Consommateurs!$N21&lt;R$42)+E3_Consommateurs!$N18*(E3_Consommateurs!$N21=R$42)*E3_Consommateurs!$N20</f>
        <v>76</v>
      </c>
      <c r="S55" s="325">
        <f>E3_Consommateurs!$N18*(E3_Consommateurs!$N21&lt;S$42)+E3_Consommateurs!$N18*(E3_Consommateurs!$N21=S$42)*E3_Consommateurs!$N20</f>
        <v>76</v>
      </c>
      <c r="T55" s="300"/>
      <c r="U55" s="300"/>
      <c r="V55" s="300"/>
      <c r="W55" s="300"/>
    </row>
    <row r="56" spans="1:23" x14ac:dyDescent="0.2">
      <c r="A56" s="300"/>
      <c r="B56" s="304" t="str">
        <f t="shared" si="2"/>
        <v>Lotissement</v>
      </c>
      <c r="C56" s="304" t="s">
        <v>454</v>
      </c>
      <c r="D56" s="325">
        <f>E3_Consommateurs!$O18*(E3_Consommateurs!$O21&lt;D$42)+E3_Consommateurs!$O18*(E3_Consommateurs!$O21=D$42)*E3_Consommateurs!$O20</f>
        <v>0</v>
      </c>
      <c r="E56" s="325">
        <f>E3_Consommateurs!$O18*(E3_Consommateurs!$O21&lt;E$42)+E3_Consommateurs!$O18*(E3_Consommateurs!$O21=E$42)*E3_Consommateurs!$O20</f>
        <v>0</v>
      </c>
      <c r="F56" s="325">
        <f>E3_Consommateurs!$O18*(E3_Consommateurs!$O21&lt;F$42)+E3_Consommateurs!$O18*(E3_Consommateurs!$O21=F$42)*E3_Consommateurs!$O20</f>
        <v>19</v>
      </c>
      <c r="G56" s="325">
        <f>E3_Consommateurs!$O18*(E3_Consommateurs!$O21&lt;G$42)+E3_Consommateurs!$O18*(E3_Consommateurs!$O21=G$42)*E3_Consommateurs!$O20</f>
        <v>38</v>
      </c>
      <c r="H56" s="325">
        <f>E3_Consommateurs!$O18*(E3_Consommateurs!$O21&lt;H$42)+E3_Consommateurs!$O18*(E3_Consommateurs!$O21=H$42)*E3_Consommateurs!$O20</f>
        <v>38</v>
      </c>
      <c r="I56" s="325">
        <f>E3_Consommateurs!$O18*(E3_Consommateurs!$O21&lt;I$42)+E3_Consommateurs!$O18*(E3_Consommateurs!$O21=I$42)*E3_Consommateurs!$O20</f>
        <v>38</v>
      </c>
      <c r="J56" s="325">
        <f>E3_Consommateurs!$O18*(E3_Consommateurs!$O21&lt;J$42)+E3_Consommateurs!$O18*(E3_Consommateurs!$O21=J$42)*E3_Consommateurs!$O20</f>
        <v>38</v>
      </c>
      <c r="K56" s="325">
        <f>E3_Consommateurs!$O18*(E3_Consommateurs!$O21&lt;K$42)+E3_Consommateurs!$O18*(E3_Consommateurs!$O21=K$42)*E3_Consommateurs!$O20</f>
        <v>38</v>
      </c>
      <c r="L56" s="325">
        <f>E3_Consommateurs!$O18*(E3_Consommateurs!$O21&lt;L$42)+E3_Consommateurs!$O18*(E3_Consommateurs!$O21=L$42)*E3_Consommateurs!$O20</f>
        <v>38</v>
      </c>
      <c r="M56" s="325">
        <f>E3_Consommateurs!$O18*(E3_Consommateurs!$O21&lt;M$42)+E3_Consommateurs!$O18*(E3_Consommateurs!$O21=M$42)*E3_Consommateurs!$O20</f>
        <v>38</v>
      </c>
      <c r="N56" s="325">
        <f>E3_Consommateurs!$O18*(E3_Consommateurs!$O21&lt;N$42)+E3_Consommateurs!$O18*(E3_Consommateurs!$O21=N$42)*E3_Consommateurs!$O20</f>
        <v>38</v>
      </c>
      <c r="O56" s="325">
        <f>E3_Consommateurs!$O18*(E3_Consommateurs!$O21&lt;O$42)+E3_Consommateurs!$O18*(E3_Consommateurs!$O21=O$42)*E3_Consommateurs!$O20</f>
        <v>38</v>
      </c>
      <c r="P56" s="325">
        <f>E3_Consommateurs!$O18*(E3_Consommateurs!$O21&lt;P$42)+E3_Consommateurs!$O18*(E3_Consommateurs!$O21=P$42)*E3_Consommateurs!$O20</f>
        <v>38</v>
      </c>
      <c r="Q56" s="325">
        <f>E3_Consommateurs!$O18*(E3_Consommateurs!$O21&lt;Q$42)+E3_Consommateurs!$O18*(E3_Consommateurs!$O21=Q$42)*E3_Consommateurs!$O20</f>
        <v>38</v>
      </c>
      <c r="R56" s="325">
        <f>E3_Consommateurs!$O18*(E3_Consommateurs!$O21&lt;R$42)+E3_Consommateurs!$O18*(E3_Consommateurs!$O21=R$42)*E3_Consommateurs!$O20</f>
        <v>38</v>
      </c>
      <c r="S56" s="325">
        <f>E3_Consommateurs!$O18*(E3_Consommateurs!$O21&lt;S$42)+E3_Consommateurs!$O18*(E3_Consommateurs!$O21=S$42)*E3_Consommateurs!$O20</f>
        <v>38</v>
      </c>
      <c r="T56" s="300"/>
      <c r="U56" s="300"/>
      <c r="V56" s="300"/>
      <c r="W56" s="300"/>
    </row>
    <row r="57" spans="1:23" x14ac:dyDescent="0.2">
      <c r="A57" s="300"/>
      <c r="B57" s="304" t="str">
        <f t="shared" si="2"/>
        <v>Lotissement</v>
      </c>
      <c r="C57" s="304" t="s">
        <v>454</v>
      </c>
      <c r="D57" s="325">
        <f>E3_Consommateurs!$P18*(E3_Consommateurs!$P21&lt;D$42)+E3_Consommateurs!$P18*(E3_Consommateurs!$P21=D$42)*E3_Consommateurs!$P20</f>
        <v>0</v>
      </c>
      <c r="E57" s="325">
        <f>E3_Consommateurs!$P18*(E3_Consommateurs!$P21&lt;E$42)+E3_Consommateurs!$P18*(E3_Consommateurs!$P21=E$42)*E3_Consommateurs!$P20</f>
        <v>0</v>
      </c>
      <c r="F57" s="325">
        <f>E3_Consommateurs!$P18*(E3_Consommateurs!$P21&lt;F$42)+E3_Consommateurs!$P18*(E3_Consommateurs!$P21=F$42)*E3_Consommateurs!$P20</f>
        <v>23</v>
      </c>
      <c r="G57" s="325">
        <f>E3_Consommateurs!$P18*(E3_Consommateurs!$P21&lt;G$42)+E3_Consommateurs!$P18*(E3_Consommateurs!$P21=G$42)*E3_Consommateurs!$P20</f>
        <v>46</v>
      </c>
      <c r="H57" s="325">
        <f>E3_Consommateurs!$P18*(E3_Consommateurs!$P21&lt;H$42)+E3_Consommateurs!$P18*(E3_Consommateurs!$P21=H$42)*E3_Consommateurs!$P20</f>
        <v>46</v>
      </c>
      <c r="I57" s="325">
        <f>E3_Consommateurs!$P18*(E3_Consommateurs!$P21&lt;I$42)+E3_Consommateurs!$P18*(E3_Consommateurs!$P21=I$42)*E3_Consommateurs!$P20</f>
        <v>46</v>
      </c>
      <c r="J57" s="325">
        <f>E3_Consommateurs!$P18*(E3_Consommateurs!$P21&lt;J$42)+E3_Consommateurs!$P18*(E3_Consommateurs!$P21=J$42)*E3_Consommateurs!$P20</f>
        <v>46</v>
      </c>
      <c r="K57" s="325">
        <f>E3_Consommateurs!$P18*(E3_Consommateurs!$P21&lt;K$42)+E3_Consommateurs!$P18*(E3_Consommateurs!$P21=K$42)*E3_Consommateurs!$P20</f>
        <v>46</v>
      </c>
      <c r="L57" s="325">
        <f>E3_Consommateurs!$P18*(E3_Consommateurs!$P21&lt;L$42)+E3_Consommateurs!$P18*(E3_Consommateurs!$P21=L$42)*E3_Consommateurs!$P20</f>
        <v>46</v>
      </c>
      <c r="M57" s="325">
        <f>E3_Consommateurs!$P18*(E3_Consommateurs!$P21&lt;M$42)+E3_Consommateurs!$P18*(E3_Consommateurs!$P21=M$42)*E3_Consommateurs!$P20</f>
        <v>46</v>
      </c>
      <c r="N57" s="325">
        <f>E3_Consommateurs!$P18*(E3_Consommateurs!$P21&lt;N$42)+E3_Consommateurs!$P18*(E3_Consommateurs!$P21=N$42)*E3_Consommateurs!$P20</f>
        <v>46</v>
      </c>
      <c r="O57" s="325">
        <f>E3_Consommateurs!$P18*(E3_Consommateurs!$P21&lt;O$42)+E3_Consommateurs!$P18*(E3_Consommateurs!$P21=O$42)*E3_Consommateurs!$P20</f>
        <v>46</v>
      </c>
      <c r="P57" s="325">
        <f>E3_Consommateurs!$P18*(E3_Consommateurs!$P21&lt;P$42)+E3_Consommateurs!$P18*(E3_Consommateurs!$P21=P$42)*E3_Consommateurs!$P20</f>
        <v>46</v>
      </c>
      <c r="Q57" s="325">
        <f>E3_Consommateurs!$P18*(E3_Consommateurs!$P21&lt;Q$42)+E3_Consommateurs!$P18*(E3_Consommateurs!$P21=Q$42)*E3_Consommateurs!$P20</f>
        <v>46</v>
      </c>
      <c r="R57" s="325">
        <f>E3_Consommateurs!$P18*(E3_Consommateurs!$P21&lt;R$42)+E3_Consommateurs!$P18*(E3_Consommateurs!$P21=R$42)*E3_Consommateurs!$P20</f>
        <v>46</v>
      </c>
      <c r="S57" s="325">
        <f>E3_Consommateurs!$P18*(E3_Consommateurs!$P21&lt;S$42)+E3_Consommateurs!$P18*(E3_Consommateurs!$P21=S$42)*E3_Consommateurs!$P20</f>
        <v>46</v>
      </c>
      <c r="T57" s="300"/>
      <c r="U57" s="300"/>
      <c r="V57" s="300"/>
      <c r="W57" s="300"/>
    </row>
    <row r="58" spans="1:23" x14ac:dyDescent="0.2">
      <c r="A58" s="300"/>
      <c r="B58" s="304" t="str">
        <f t="shared" si="2"/>
        <v>Lotissement</v>
      </c>
      <c r="C58" s="304" t="s">
        <v>454</v>
      </c>
      <c r="D58" s="325">
        <f>E3_Consommateurs!$Q18*(E3_Consommateurs!$Q21&lt;D$42)+E3_Consommateurs!$Q18*(E3_Consommateurs!$Q21=D$42)*E3_Consommateurs!$Q20</f>
        <v>0</v>
      </c>
      <c r="E58" s="325">
        <f>E3_Consommateurs!$Q18*(E3_Consommateurs!$Q21&lt;E$42)+E3_Consommateurs!$Q18*(E3_Consommateurs!$Q21=E$42)*E3_Consommateurs!$Q20</f>
        <v>0</v>
      </c>
      <c r="F58" s="325">
        <f>E3_Consommateurs!$Q18*(E3_Consommateurs!$Q21&lt;F$42)+E3_Consommateurs!$Q18*(E3_Consommateurs!$Q21=F$42)*E3_Consommateurs!$Q20</f>
        <v>26.5</v>
      </c>
      <c r="G58" s="325">
        <f>E3_Consommateurs!$Q18*(E3_Consommateurs!$Q21&lt;G$42)+E3_Consommateurs!$Q18*(E3_Consommateurs!$Q21=G$42)*E3_Consommateurs!$Q20</f>
        <v>53</v>
      </c>
      <c r="H58" s="325">
        <f>E3_Consommateurs!$Q18*(E3_Consommateurs!$Q21&lt;H$42)+E3_Consommateurs!$Q18*(E3_Consommateurs!$Q21=H$42)*E3_Consommateurs!$Q20</f>
        <v>53</v>
      </c>
      <c r="I58" s="325">
        <f>E3_Consommateurs!$Q18*(E3_Consommateurs!$Q21&lt;I$42)+E3_Consommateurs!$Q18*(E3_Consommateurs!$Q21=I$42)*E3_Consommateurs!$Q20</f>
        <v>53</v>
      </c>
      <c r="J58" s="325">
        <f>E3_Consommateurs!$Q18*(E3_Consommateurs!$Q21&lt;J$42)+E3_Consommateurs!$Q18*(E3_Consommateurs!$Q21=J$42)*E3_Consommateurs!$Q20</f>
        <v>53</v>
      </c>
      <c r="K58" s="325">
        <f>E3_Consommateurs!$Q18*(E3_Consommateurs!$Q21&lt;K$42)+E3_Consommateurs!$Q18*(E3_Consommateurs!$Q21=K$42)*E3_Consommateurs!$Q20</f>
        <v>53</v>
      </c>
      <c r="L58" s="325">
        <f>E3_Consommateurs!$Q18*(E3_Consommateurs!$Q21&lt;L$42)+E3_Consommateurs!$Q18*(E3_Consommateurs!$Q21=L$42)*E3_Consommateurs!$Q20</f>
        <v>53</v>
      </c>
      <c r="M58" s="325">
        <f>E3_Consommateurs!$Q18*(E3_Consommateurs!$Q21&lt;M$42)+E3_Consommateurs!$Q18*(E3_Consommateurs!$Q21=M$42)*E3_Consommateurs!$Q20</f>
        <v>53</v>
      </c>
      <c r="N58" s="325">
        <f>E3_Consommateurs!$Q18*(E3_Consommateurs!$Q21&lt;N$42)+E3_Consommateurs!$Q18*(E3_Consommateurs!$Q21=N$42)*E3_Consommateurs!$Q20</f>
        <v>53</v>
      </c>
      <c r="O58" s="325">
        <f>E3_Consommateurs!$Q18*(E3_Consommateurs!$Q21&lt;O$42)+E3_Consommateurs!$Q18*(E3_Consommateurs!$Q21=O$42)*E3_Consommateurs!$Q20</f>
        <v>53</v>
      </c>
      <c r="P58" s="325">
        <f>E3_Consommateurs!$Q18*(E3_Consommateurs!$Q21&lt;P$42)+E3_Consommateurs!$Q18*(E3_Consommateurs!$Q21=P$42)*E3_Consommateurs!$Q20</f>
        <v>53</v>
      </c>
      <c r="Q58" s="325">
        <f>E3_Consommateurs!$Q18*(E3_Consommateurs!$Q21&lt;Q$42)+E3_Consommateurs!$Q18*(E3_Consommateurs!$Q21=Q$42)*E3_Consommateurs!$Q20</f>
        <v>53</v>
      </c>
      <c r="R58" s="325">
        <f>E3_Consommateurs!$Q18*(E3_Consommateurs!$Q21&lt;R$42)+E3_Consommateurs!$Q18*(E3_Consommateurs!$Q21=R$42)*E3_Consommateurs!$Q20</f>
        <v>53</v>
      </c>
      <c r="S58" s="325">
        <f>E3_Consommateurs!$Q18*(E3_Consommateurs!$Q21&lt;S$42)+E3_Consommateurs!$Q18*(E3_Consommateurs!$Q21=S$42)*E3_Consommateurs!$Q20</f>
        <v>53</v>
      </c>
      <c r="T58" s="300"/>
      <c r="U58" s="300"/>
      <c r="V58" s="300"/>
      <c r="W58" s="300"/>
    </row>
    <row r="59" spans="1:23" x14ac:dyDescent="0.2">
      <c r="A59" s="300"/>
      <c r="B59" s="304" t="str">
        <f t="shared" si="2"/>
        <v>Lotissement</v>
      </c>
      <c r="C59" s="304" t="s">
        <v>454</v>
      </c>
      <c r="D59" s="325">
        <f>E3_Consommateurs!$R18*(E3_Consommateurs!$R21&lt;D$42)+E3_Consommateurs!$R18*(E3_Consommateurs!$R21=D$42)*E3_Consommateurs!$R20</f>
        <v>0</v>
      </c>
      <c r="E59" s="325">
        <f>E3_Consommateurs!$R18*(E3_Consommateurs!$R21&lt;E$42)+E3_Consommateurs!$R18*(E3_Consommateurs!$R21=E$42)*E3_Consommateurs!$R20</f>
        <v>0</v>
      </c>
      <c r="F59" s="325">
        <f>E3_Consommateurs!$R18*(E3_Consommateurs!$R21&lt;F$42)+E3_Consommateurs!$R18*(E3_Consommateurs!$R21=F$42)*E3_Consommateurs!$R20</f>
        <v>11</v>
      </c>
      <c r="G59" s="325">
        <f>E3_Consommateurs!$R18*(E3_Consommateurs!$R21&lt;G$42)+E3_Consommateurs!$R18*(E3_Consommateurs!$R21=G$42)*E3_Consommateurs!$R20</f>
        <v>22</v>
      </c>
      <c r="H59" s="325">
        <f>E3_Consommateurs!$R18*(E3_Consommateurs!$R21&lt;H$42)+E3_Consommateurs!$R18*(E3_Consommateurs!$R21=H$42)*E3_Consommateurs!$R20</f>
        <v>22</v>
      </c>
      <c r="I59" s="325">
        <f>E3_Consommateurs!$R18*(E3_Consommateurs!$R21&lt;I$42)+E3_Consommateurs!$R18*(E3_Consommateurs!$R21=I$42)*E3_Consommateurs!$R20</f>
        <v>22</v>
      </c>
      <c r="J59" s="325">
        <f>E3_Consommateurs!$R18*(E3_Consommateurs!$R21&lt;J$42)+E3_Consommateurs!$R18*(E3_Consommateurs!$R21=J$42)*E3_Consommateurs!$R20</f>
        <v>22</v>
      </c>
      <c r="K59" s="325">
        <f>E3_Consommateurs!$R18*(E3_Consommateurs!$R21&lt;K$42)+E3_Consommateurs!$R18*(E3_Consommateurs!$R21=K$42)*E3_Consommateurs!$R20</f>
        <v>22</v>
      </c>
      <c r="L59" s="325">
        <f>E3_Consommateurs!$R18*(E3_Consommateurs!$R21&lt;L$42)+E3_Consommateurs!$R18*(E3_Consommateurs!$R21=L$42)*E3_Consommateurs!$R20</f>
        <v>22</v>
      </c>
      <c r="M59" s="325">
        <f>E3_Consommateurs!$R18*(E3_Consommateurs!$R21&lt;M$42)+E3_Consommateurs!$R18*(E3_Consommateurs!$R21=M$42)*E3_Consommateurs!$R20</f>
        <v>22</v>
      </c>
      <c r="N59" s="325">
        <f>E3_Consommateurs!$R18*(E3_Consommateurs!$R21&lt;N$42)+E3_Consommateurs!$R18*(E3_Consommateurs!$R21=N$42)*E3_Consommateurs!$R20</f>
        <v>22</v>
      </c>
      <c r="O59" s="325">
        <f>E3_Consommateurs!$R18*(E3_Consommateurs!$R21&lt;O$42)+E3_Consommateurs!$R18*(E3_Consommateurs!$R21=O$42)*E3_Consommateurs!$R20</f>
        <v>22</v>
      </c>
      <c r="P59" s="325">
        <f>E3_Consommateurs!$R18*(E3_Consommateurs!$R21&lt;P$42)+E3_Consommateurs!$R18*(E3_Consommateurs!$R21=P$42)*E3_Consommateurs!$R20</f>
        <v>22</v>
      </c>
      <c r="Q59" s="325">
        <f>E3_Consommateurs!$R18*(E3_Consommateurs!$R21&lt;Q$42)+E3_Consommateurs!$R18*(E3_Consommateurs!$R21=Q$42)*E3_Consommateurs!$R20</f>
        <v>22</v>
      </c>
      <c r="R59" s="325">
        <f>E3_Consommateurs!$R18*(E3_Consommateurs!$R21&lt;R$42)+E3_Consommateurs!$R18*(E3_Consommateurs!$R21=R$42)*E3_Consommateurs!$R20</f>
        <v>22</v>
      </c>
      <c r="S59" s="325">
        <f>E3_Consommateurs!$R18*(E3_Consommateurs!$R21&lt;S$42)+E3_Consommateurs!$R18*(E3_Consommateurs!$R21=S$42)*E3_Consommateurs!$R20</f>
        <v>22</v>
      </c>
      <c r="T59" s="300"/>
      <c r="U59" s="300"/>
      <c r="V59" s="300"/>
      <c r="W59" s="300"/>
    </row>
    <row r="60" spans="1:23" x14ac:dyDescent="0.2">
      <c r="A60" s="300"/>
      <c r="B60" s="15" t="s">
        <v>455</v>
      </c>
      <c r="C60" s="15"/>
      <c r="D60" s="15"/>
      <c r="E60" s="15"/>
      <c r="F60" s="15"/>
      <c r="G60" s="15"/>
      <c r="H60" s="15"/>
      <c r="I60" s="15"/>
      <c r="J60" s="15"/>
      <c r="K60" s="15"/>
      <c r="L60" s="15"/>
      <c r="M60" s="15"/>
      <c r="N60" s="15"/>
      <c r="O60" s="15"/>
      <c r="P60" s="15"/>
      <c r="Q60" s="15"/>
      <c r="R60" s="15"/>
      <c r="S60" s="15"/>
      <c r="T60" s="20"/>
      <c r="U60" s="20"/>
      <c r="V60" s="20"/>
      <c r="W60" s="20"/>
    </row>
    <row r="61" spans="1:23" x14ac:dyDescent="0.2">
      <c r="A61" s="3">
        <v>922</v>
      </c>
      <c r="B61" s="304" t="s">
        <v>456</v>
      </c>
      <c r="C61" s="304" t="s">
        <v>454</v>
      </c>
      <c r="D61" s="325">
        <f>_xlfn.XLOOKUP(D42,B1_Calculs!$B$44:$B$68,B1_Calculs!$C$44:$C$68)*Eing_Spez_Stromverbrauch/100</f>
        <v>8.58</v>
      </c>
      <c r="E61" s="325">
        <f>_xlfn.XLOOKUP(E42,B1_Calculs!$B$44:$B$68,B1_Calculs!$C$44:$C$68)*Eing_Spez_Stromverbrauch/100</f>
        <v>28.30311</v>
      </c>
      <c r="F61" s="325">
        <f>_xlfn.XLOOKUP(F42,B1_Calculs!$B$44:$B$68,B1_Calculs!$C$44:$C$68)*Eing_Spez_Stromverbrauch/100</f>
        <v>42.391285199999992</v>
      </c>
      <c r="G61" s="325">
        <f>_xlfn.XLOOKUP(G42,B1_Calculs!$B$44:$B$68,B1_Calculs!$C$44:$C$68)*Eing_Spez_Stromverbrauch/100</f>
        <v>47.453442893999998</v>
      </c>
      <c r="H61" s="325">
        <f>_xlfn.XLOOKUP(H42,B1_Calculs!$B$44:$B$68,B1_Calculs!$C$44:$C$68)*Eing_Spez_Stromverbrauch/100</f>
        <v>46.978908465059995</v>
      </c>
      <c r="I61" s="325">
        <f>_xlfn.XLOOKUP(I42,B1_Calculs!$B$44:$B$68,B1_Calculs!$C$44:$C$68)*Eing_Spez_Stromverbrauch/100</f>
        <v>46.509119380409395</v>
      </c>
      <c r="J61" s="325">
        <f>_xlfn.XLOOKUP(J42,B1_Calculs!$B$44:$B$68,B1_Calculs!$C$44:$C$68)*Eing_Spez_Stromverbrauch/100</f>
        <v>46.044028186605303</v>
      </c>
      <c r="K61" s="325">
        <f>_xlfn.XLOOKUP(K42,B1_Calculs!$B$44:$B$68,B1_Calculs!$C$44:$C$68)*Eing_Spez_Stromverbrauch/100</f>
        <v>46.916441352246238</v>
      </c>
      <c r="L61" s="325">
        <f>_xlfn.XLOOKUP(L42,B1_Calculs!$B$44:$B$68,B1_Calculs!$C$44:$C$68)*Eing_Spez_Stromverbrauch/100</f>
        <v>47.766801851755702</v>
      </c>
      <c r="M61" s="325">
        <f>_xlfn.XLOOKUP(M42,B1_Calculs!$B$44:$B$68,B1_Calculs!$C$44:$C$68)*Eing_Spez_Stromverbrauch/100</f>
        <v>47.289133833238147</v>
      </c>
      <c r="N61" s="325">
        <f>_xlfn.XLOOKUP(N42,B1_Calculs!$B$44:$B$68,B1_Calculs!$C$44:$C$68)*Eing_Spez_Stromverbrauch/100</f>
        <v>46.816242494905765</v>
      </c>
      <c r="O61" s="325">
        <f>_xlfn.XLOOKUP(O42,B1_Calculs!$B$44:$B$68,B1_Calculs!$C$44:$C$68)*Eing_Spez_Stromverbrauch/100</f>
        <v>46.348080069956701</v>
      </c>
      <c r="P61" s="325">
        <f>_xlfn.XLOOKUP(P42,B1_Calculs!$B$44:$B$68,B1_Calculs!$C$44:$C$68)*Eing_Spez_Stromverbrauch/100</f>
        <v>45.88459926925713</v>
      </c>
      <c r="Q61" s="325">
        <f>_xlfn.XLOOKUP(Q42,B1_Calculs!$B$44:$B$68,B1_Calculs!$C$44:$C$68)*Eing_Spez_Stromverbrauch/100</f>
        <v>45.425753276564564</v>
      </c>
      <c r="R61" s="325">
        <f>_xlfn.XLOOKUP(R42,B1_Calculs!$B$44:$B$68,B1_Calculs!$C$44:$C$68)*Eing_Spez_Stromverbrauch/100</f>
        <v>44.971495743798926</v>
      </c>
      <c r="S61" s="325">
        <f>_xlfn.XLOOKUP(S42,B1_Calculs!$B$44:$B$68,B1_Calculs!$C$44:$C$68)*Eing_Spez_Stromverbrauch/100</f>
        <v>44.521780786360935</v>
      </c>
      <c r="T61" s="300"/>
      <c r="U61" s="300"/>
      <c r="V61" s="300"/>
      <c r="W61" s="300"/>
    </row>
    <row r="62" spans="1:23" x14ac:dyDescent="0.2">
      <c r="A62" s="300"/>
      <c r="B62" s="13" t="s">
        <v>457</v>
      </c>
      <c r="C62" s="13"/>
      <c r="D62" s="13">
        <f>Eing_Beginnjahr</f>
        <v>2024</v>
      </c>
      <c r="E62" s="13">
        <f>D62+1</f>
        <v>2025</v>
      </c>
      <c r="F62" s="13">
        <f t="shared" ref="F62:U62" si="3">E62+1</f>
        <v>2026</v>
      </c>
      <c r="G62" s="13">
        <f t="shared" si="3"/>
        <v>2027</v>
      </c>
      <c r="H62" s="13">
        <f t="shared" si="3"/>
        <v>2028</v>
      </c>
      <c r="I62" s="13">
        <f t="shared" si="3"/>
        <v>2029</v>
      </c>
      <c r="J62" s="13">
        <f t="shared" si="3"/>
        <v>2030</v>
      </c>
      <c r="K62" s="13">
        <f t="shared" si="3"/>
        <v>2031</v>
      </c>
      <c r="L62" s="13">
        <f t="shared" si="3"/>
        <v>2032</v>
      </c>
      <c r="M62" s="13">
        <f t="shared" si="3"/>
        <v>2033</v>
      </c>
      <c r="N62" s="13">
        <f t="shared" si="3"/>
        <v>2034</v>
      </c>
      <c r="O62" s="13">
        <f t="shared" si="3"/>
        <v>2035</v>
      </c>
      <c r="P62" s="13">
        <f t="shared" si="3"/>
        <v>2036</v>
      </c>
      <c r="Q62" s="13">
        <f t="shared" si="3"/>
        <v>2037</v>
      </c>
      <c r="R62" s="13">
        <f t="shared" si="3"/>
        <v>2038</v>
      </c>
      <c r="S62" s="13">
        <f t="shared" si="3"/>
        <v>2039</v>
      </c>
      <c r="T62" s="13">
        <f t="shared" si="3"/>
        <v>2040</v>
      </c>
      <c r="U62" s="13">
        <f t="shared" si="3"/>
        <v>2041</v>
      </c>
      <c r="V62" s="20">
        <f t="shared" ref="V62" si="4">U62+1</f>
        <v>2042</v>
      </c>
      <c r="W62" s="300"/>
    </row>
    <row r="63" spans="1:23" x14ac:dyDescent="0.2">
      <c r="A63" s="300"/>
      <c r="B63" s="15" t="s">
        <v>395</v>
      </c>
      <c r="C63" s="15"/>
      <c r="D63" s="15"/>
      <c r="E63" s="15"/>
      <c r="F63" s="15"/>
      <c r="G63" s="15"/>
      <c r="H63" s="15"/>
      <c r="I63" s="15"/>
      <c r="J63" s="15"/>
      <c r="K63" s="15"/>
      <c r="L63" s="15"/>
      <c r="M63" s="15"/>
      <c r="N63" s="15"/>
      <c r="O63" s="15"/>
      <c r="P63" s="15"/>
      <c r="Q63" s="15"/>
      <c r="R63" s="15"/>
      <c r="S63" s="15"/>
      <c r="T63" s="15"/>
      <c r="U63" s="15"/>
      <c r="V63" s="20"/>
      <c r="W63" s="300"/>
    </row>
    <row r="64" spans="1:23" x14ac:dyDescent="0.2">
      <c r="A64" s="300"/>
      <c r="B64" s="21" t="s">
        <v>458</v>
      </c>
      <c r="C64" s="304" t="s">
        <v>432</v>
      </c>
      <c r="D64" s="327"/>
      <c r="E64" s="327"/>
      <c r="F64" s="327"/>
      <c r="G64" s="327"/>
      <c r="H64" s="327"/>
      <c r="I64" s="327"/>
      <c r="J64" s="327"/>
      <c r="K64" s="327"/>
      <c r="L64" s="327"/>
      <c r="M64" s="327"/>
      <c r="N64" s="327"/>
      <c r="O64" s="327"/>
      <c r="P64" s="327"/>
      <c r="Q64" s="327"/>
      <c r="R64" s="327"/>
      <c r="S64" s="327"/>
      <c r="T64" s="327"/>
      <c r="U64" s="327"/>
      <c r="V64" s="327"/>
      <c r="W64" s="300"/>
    </row>
    <row r="65" spans="1:22" x14ac:dyDescent="0.2">
      <c r="A65" s="3">
        <v>923</v>
      </c>
      <c r="B65" s="305" t="s">
        <v>459</v>
      </c>
      <c r="C65" s="304" t="s">
        <v>432</v>
      </c>
      <c r="D65" s="325">
        <f>_xlfn.XLOOKUP(D42,B1_Calculs!$B$44:$B$68,B1_Calculs!$E$44:$E$68)*Kapitalkosten_Wärmeverteilung/SUM('E1_Données de projet'!$D$155:$D$156)</f>
        <v>480134.98855676537</v>
      </c>
      <c r="E65" s="325">
        <f>_xlfn.XLOOKUP(E42,B1_Calculs!$B$44:$B$68,B1_Calculs!$E$44:$E$68)*Kapitalkosten_Wärmeverteilung/SUM('E1_Données de projet'!$D$155:$D$156)</f>
        <v>120033.74713919134</v>
      </c>
      <c r="F65" s="325">
        <f>_xlfn.XLOOKUP(F42,B1_Calculs!$B$44:$B$68,B1_Calculs!$E$44:$E$68)*Kapitalkosten_Wärmeverteilung/SUM('E1_Données de projet'!$D$155:$D$156)</f>
        <v>0</v>
      </c>
      <c r="G65" s="325">
        <f>_xlfn.XLOOKUP(G42,B1_Calculs!$B$44:$B$68,B1_Calculs!$E$44:$E$68)*Kapitalkosten_Wärmeverteilung/SUM('E1_Données de projet'!$D$155:$D$156)</f>
        <v>0</v>
      </c>
      <c r="H65" s="325">
        <f>_xlfn.XLOOKUP(H42,B1_Calculs!$B$44:$B$68,B1_Calculs!$E$44:$E$68)*Kapitalkosten_Wärmeverteilung/SUM('E1_Données de projet'!$D$155:$D$156)</f>
        <v>0</v>
      </c>
      <c r="I65" s="325">
        <f>_xlfn.XLOOKUP(I42,B1_Calculs!$B$44:$B$68,B1_Calculs!$E$44:$E$68)*Kapitalkosten_Wärmeverteilung/SUM('E1_Données de projet'!$D$155:$D$156)</f>
        <v>240067.49427838268</v>
      </c>
      <c r="J65" s="325">
        <f>_xlfn.XLOOKUP(J42,B1_Calculs!$B$44:$B$68,B1_Calculs!$E$44:$E$68)*Kapitalkosten_Wärmeverteilung/SUM('E1_Données de projet'!$D$155:$D$156)</f>
        <v>0</v>
      </c>
      <c r="K65" s="325">
        <f>_xlfn.XLOOKUP(K42,B1_Calculs!$B$44:$B$68,B1_Calculs!$E$44:$E$68)*Kapitalkosten_Wärmeverteilung/SUM('E1_Données de projet'!$D$155:$D$156)</f>
        <v>0</v>
      </c>
      <c r="L65" s="325">
        <f>_xlfn.XLOOKUP(L42,B1_Calculs!$B$44:$B$68,B1_Calculs!$E$44:$E$68)*Kapitalkosten_Wärmeverteilung/SUM('E1_Données de projet'!$D$155:$D$156)</f>
        <v>0</v>
      </c>
      <c r="M65" s="325">
        <f>_xlfn.XLOOKUP(M42,B1_Calculs!$B$44:$B$68,B1_Calculs!$E$44:$E$68)*Kapitalkosten_Wärmeverteilung/SUM('E1_Données de projet'!$D$155:$D$156)</f>
        <v>0</v>
      </c>
      <c r="N65" s="325">
        <f>_xlfn.XLOOKUP(N42,B1_Calculs!$B$44:$B$68,B1_Calculs!$E$44:$E$68)*Kapitalkosten_Wärmeverteilung/SUM('E1_Données de projet'!$D$155:$D$156)</f>
        <v>0</v>
      </c>
      <c r="O65" s="325">
        <f>_xlfn.XLOOKUP(O42,B1_Calculs!$B$44:$B$68,B1_Calculs!$E$44:$E$68)*Kapitalkosten_Wärmeverteilung/SUM('E1_Données de projet'!$D$155:$D$156)</f>
        <v>0</v>
      </c>
      <c r="P65" s="325">
        <f>_xlfn.XLOOKUP(P42,B1_Calculs!$B$44:$B$68,B1_Calculs!$E$44:$E$68)*Kapitalkosten_Wärmeverteilung/SUM('E1_Données de projet'!$D$155:$D$156)</f>
        <v>0</v>
      </c>
      <c r="Q65" s="325">
        <f>_xlfn.XLOOKUP(Q42,B1_Calculs!$B$44:$B$68,B1_Calculs!$E$44:$E$68)*Kapitalkosten_Wärmeverteilung/SUM('E1_Données de projet'!$D$155:$D$156)</f>
        <v>0</v>
      </c>
      <c r="R65" s="325">
        <f>_xlfn.XLOOKUP(R42,B1_Calculs!$B$44:$B$68,B1_Calculs!$E$44:$E$68)*Kapitalkosten_Wärmeverteilung/SUM('E1_Données de projet'!$D$155:$D$156)</f>
        <v>0</v>
      </c>
      <c r="S65" s="325">
        <f>_xlfn.XLOOKUP(S42,B1_Calculs!$B$44:$B$68,B1_Calculs!$E$44:$E$68)*Kapitalkosten_Wärmeverteilung/SUM('E1_Données de projet'!$D$155:$D$156)</f>
        <v>22770.499023747307</v>
      </c>
      <c r="T65" s="325">
        <f>(VLOOKUP('A2_Données VAN'!T$62,B1_Calculs!$B$44:$BE$68,23)*SUM('E1_Données de projet'!$D$77,'E1_Données de projet'!$D$79,'E1_Données de projet'!$D$80)/Gesamtinvestition)</f>
        <v>0</v>
      </c>
      <c r="U65" s="325">
        <f>(VLOOKUP('A2_Données VAN'!U$62,B1_Calculs!$B$44:$BE$68,23)*SUM('E1_Données de projet'!$D$77,'E1_Données de projet'!$D$79,'E1_Données de projet'!$D$80)/Gesamtinvestition)</f>
        <v>0</v>
      </c>
      <c r="V65" s="325">
        <f>(VLOOKUP('A2_Données VAN'!V$62,B1_Calculs!$B$44:$BE$68,23)*SUM('E1_Données de projet'!$D$77,'E1_Données de projet'!$D$79,'E1_Données de projet'!$D$80)/Gesamtinvestition)</f>
        <v>0</v>
      </c>
    </row>
    <row r="66" spans="1:22" x14ac:dyDescent="0.2">
      <c r="A66" s="3">
        <v>924</v>
      </c>
      <c r="B66" s="305" t="s">
        <v>460</v>
      </c>
      <c r="C66" s="304" t="s">
        <v>432</v>
      </c>
      <c r="D66" s="324">
        <f>_xlfn.XLOOKUP(D42,B1_Calculs!$B$44:$B$68,B1_Calculs!$E$44:$E$68)-D65</f>
        <v>743865.01144323463</v>
      </c>
      <c r="E66" s="325">
        <f>_xlfn.XLOOKUP(E42,B1_Calculs!$B$44:$B$68,B1_Calculs!$E$44:$E$68)-E65</f>
        <v>185966.25286080866</v>
      </c>
      <c r="F66" s="325">
        <f>_xlfn.XLOOKUP(F42,B1_Calculs!$B$44:$B$68,B1_Calculs!$E$44:$E$68)-F65</f>
        <v>0</v>
      </c>
      <c r="G66" s="325">
        <f>_xlfn.XLOOKUP(G42,B1_Calculs!$B$44:$B$68,B1_Calculs!$E$44:$E$68)-G65</f>
        <v>0</v>
      </c>
      <c r="H66" s="325">
        <f>_xlfn.XLOOKUP(H42,B1_Calculs!$B$44:$B$68,B1_Calculs!$E$44:$E$68)-H65</f>
        <v>0</v>
      </c>
      <c r="I66" s="325">
        <f>_xlfn.XLOOKUP(I42,B1_Calculs!$B$44:$B$68,B1_Calculs!$E$44:$E$68)-I65</f>
        <v>371932.50572161732</v>
      </c>
      <c r="J66" s="325">
        <f>_xlfn.XLOOKUP(J42,B1_Calculs!$B$44:$B$68,B1_Calculs!$E$44:$E$68)-J65</f>
        <v>0</v>
      </c>
      <c r="K66" s="325">
        <f>_xlfn.XLOOKUP(K42,B1_Calculs!$B$44:$B$68,B1_Calculs!$E$44:$E$68)-K65</f>
        <v>0</v>
      </c>
      <c r="L66" s="325">
        <f>_xlfn.XLOOKUP(L42,B1_Calculs!$B$44:$B$68,B1_Calculs!$E$44:$E$68)-L65</f>
        <v>0</v>
      </c>
      <c r="M66" s="325">
        <f>_xlfn.XLOOKUP(M42,B1_Calculs!$B$44:$B$68,B1_Calculs!$E$44:$E$68)-M65</f>
        <v>0</v>
      </c>
      <c r="N66" s="325">
        <f>_xlfn.XLOOKUP(N42,B1_Calculs!$B$44:$B$68,B1_Calculs!$E$44:$E$68)-N65</f>
        <v>0</v>
      </c>
      <c r="O66" s="325">
        <f>_xlfn.XLOOKUP(O42,B1_Calculs!$B$44:$B$68,B1_Calculs!$E$44:$E$68)-O65</f>
        <v>0</v>
      </c>
      <c r="P66" s="325">
        <f>_xlfn.XLOOKUP(P42,B1_Calculs!$B$44:$B$68,B1_Calculs!$E$44:$E$68)-P65</f>
        <v>0</v>
      </c>
      <c r="Q66" s="325">
        <f>_xlfn.XLOOKUP(Q42,B1_Calculs!$B$44:$B$68,B1_Calculs!$E$44:$E$68)-Q65</f>
        <v>0</v>
      </c>
      <c r="R66" s="325">
        <f>_xlfn.XLOOKUP(R42,B1_Calculs!$B$44:$B$68,B1_Calculs!$E$44:$E$68)-R65</f>
        <v>0</v>
      </c>
      <c r="S66" s="325">
        <f>_xlfn.XLOOKUP(S42,B1_Calculs!$B$44:$B$68,B1_Calculs!$E$44:$E$68)-S65</f>
        <v>35277.948744752619</v>
      </c>
      <c r="T66" s="325">
        <f>(VLOOKUP('A2_Données VAN'!T$62,B1_Calculs!$B$44:$BE$68,23)-T65)</f>
        <v>0</v>
      </c>
      <c r="U66" s="325">
        <f>(VLOOKUP('A2_Données VAN'!U$62,B1_Calculs!$B$44:$BE$68,23)-U65)</f>
        <v>0</v>
      </c>
      <c r="V66" s="325">
        <f>(VLOOKUP('A2_Données VAN'!V$62,B1_Calculs!$B$44:$BE$68,23)-V65)</f>
        <v>0</v>
      </c>
    </row>
    <row r="67" spans="1:22" x14ac:dyDescent="0.2">
      <c r="A67" s="300"/>
      <c r="B67" s="21" t="s">
        <v>461</v>
      </c>
      <c r="C67" s="304" t="s">
        <v>427</v>
      </c>
      <c r="D67" s="328" t="str">
        <f>IF(D62='E1_Données de projet'!$D$23+15,-VLOOKUP(D62,B1_Calculs!$B$44:$AS$68,31),"")</f>
        <v/>
      </c>
      <c r="E67" s="328" t="str">
        <f>IF(E62='E1_Données de projet'!$D$23+15,-VLOOKUP(E62,B1_Calculs!$B$44:$AS$68,31),"")</f>
        <v/>
      </c>
      <c r="F67" s="328" t="str">
        <f>IF(F62='E1_Données de projet'!$D$23+15,-VLOOKUP(F62,B1_Calculs!$B$44:$AS$68,31),"")</f>
        <v/>
      </c>
      <c r="G67" s="328" t="str">
        <f>IF(G62='E1_Données de projet'!$D$23+15,-VLOOKUP(G62,B1_Calculs!$B$44:$AS$68,31),"")</f>
        <v/>
      </c>
      <c r="H67" s="328" t="str">
        <f>IF(H62='E1_Données de projet'!$D$23+15,-VLOOKUP(H62,B1_Calculs!$B$44:$AS$68,31),"")</f>
        <v/>
      </c>
      <c r="I67" s="328" t="str">
        <f>IF(I62='E1_Données de projet'!$D$23+15,-VLOOKUP(I62,B1_Calculs!$B$44:$AS$68,31),"")</f>
        <v/>
      </c>
      <c r="J67" s="328" t="str">
        <f>IF(J62='E1_Données de projet'!$D$23+15,-VLOOKUP(J62,B1_Calculs!$B$44:$AS$68,31),"")</f>
        <v/>
      </c>
      <c r="K67" s="328" t="str">
        <f>IF(K62='E1_Données de projet'!$D$23+15,-VLOOKUP(K62,B1_Calculs!$B$44:$AS$68,31),"")</f>
        <v/>
      </c>
      <c r="L67" s="328" t="str">
        <f>IF(L62='E1_Données de projet'!$D$23+15,-VLOOKUP(L62,B1_Calculs!$B$44:$AS$68,31),"")</f>
        <v/>
      </c>
      <c r="M67" s="328" t="str">
        <f>IF(M62='E1_Données de projet'!$D$23+15,-VLOOKUP(M62,B1_Calculs!$B$44:$AS$68,31),"")</f>
        <v/>
      </c>
      <c r="N67" s="328" t="str">
        <f>IF(N62='E1_Données de projet'!$D$23+15,-VLOOKUP(N62,B1_Calculs!$B$44:$AS$68,31),"")</f>
        <v/>
      </c>
      <c r="O67" s="328" t="str">
        <f>IF(O62='E1_Données de projet'!$D$23+15,-VLOOKUP(O62,B1_Calculs!$B$44:$AS$68,31),"")</f>
        <v/>
      </c>
      <c r="P67" s="328" t="str">
        <f>IF(P62='E1_Données de projet'!$D$23+15,-VLOOKUP(P62,B1_Calculs!$B$44:$AS$68,31),"")</f>
        <v/>
      </c>
      <c r="Q67" s="328" t="str">
        <f>IF(Q62='E1_Données de projet'!$D$23+15,-VLOOKUP(Q62,B1_Calculs!$B$44:$AS$68,31),"")</f>
        <v/>
      </c>
      <c r="R67" s="328" t="str">
        <f>IF(R62='E1_Données de projet'!$D$23+15,-VLOOKUP(R62,B1_Calculs!$B$44:$AS$68,31),"")</f>
        <v/>
      </c>
      <c r="S67" s="328" t="str">
        <f>IF(S62='E1_Données de projet'!$D$23+15,-VLOOKUP(S62,B1_Calculs!$B$44:$AS$68,31),"")</f>
        <v/>
      </c>
      <c r="T67" s="328">
        <f>IF(T62='E1_Données de projet'!$D$23+15,-VLOOKUP(T62,B1_Calculs!$B$44:$AS$68,31),"")</f>
        <v>0</v>
      </c>
      <c r="U67" s="328" t="str">
        <f>IF(U62='E1_Données de projet'!$D$23+15,-VLOOKUP(U62,B1_Calculs!$B$44:$AS$68,31),"")</f>
        <v/>
      </c>
      <c r="V67" s="328" t="str">
        <f>IF(V62='E1_Données de projet'!$D$23+15,-VLOOKUP(V62,B1_Calculs!$B$44:$AS$68,31),"")</f>
        <v/>
      </c>
    </row>
    <row r="68" spans="1:22" x14ac:dyDescent="0.2">
      <c r="A68" s="300"/>
      <c r="B68" s="21" t="s">
        <v>462</v>
      </c>
      <c r="C68" s="304" t="s">
        <v>432</v>
      </c>
      <c r="D68" s="327"/>
      <c r="E68" s="327"/>
      <c r="F68" s="327"/>
      <c r="G68" s="327"/>
      <c r="H68" s="327"/>
      <c r="I68" s="327"/>
      <c r="J68" s="327"/>
      <c r="K68" s="327"/>
      <c r="L68" s="327"/>
      <c r="M68" s="327"/>
      <c r="N68" s="327"/>
      <c r="O68" s="327"/>
      <c r="P68" s="327"/>
      <c r="Q68" s="327"/>
      <c r="R68" s="327"/>
      <c r="S68" s="327"/>
      <c r="T68" s="327"/>
      <c r="U68" s="327"/>
      <c r="V68" s="327"/>
    </row>
    <row r="69" spans="1:22" x14ac:dyDescent="0.2">
      <c r="A69" s="3">
        <v>925</v>
      </c>
      <c r="B69" s="305" t="s">
        <v>463</v>
      </c>
      <c r="C69" s="304" t="s">
        <v>432</v>
      </c>
      <c r="D69" s="325">
        <f>SUM(_xlfn.XLOOKUP(D42,B1_Calculs!$B$44:$B$68,B1_Calculs!$AB$44:$AB$68):_xlfn.XLOOKUP(D42,B1_Calculs!$B$44:$B$68,B1_Calculs!$AF$44:$AF$68))</f>
        <v>89314.3</v>
      </c>
      <c r="E69" s="325">
        <f>SUM(_xlfn.XLOOKUP(E42,B1_Calculs!$B$44:$B$68,B1_Calculs!$AB$44:$AB$68):_xlfn.XLOOKUP(E42,B1_Calculs!$B$44:$B$68,B1_Calculs!$AF$44:$AF$68))</f>
        <v>98052.011999999988</v>
      </c>
      <c r="F69" s="325">
        <f>SUM(_xlfn.XLOOKUP(F42,B1_Calculs!$B$44:$B$68,B1_Calculs!$AB$44:$AB$68):_xlfn.XLOOKUP(F42,B1_Calculs!$B$44:$B$68,B1_Calculs!$AF$44:$AF$68))</f>
        <v>99032.532119999989</v>
      </c>
      <c r="G69" s="325">
        <f>SUM(_xlfn.XLOOKUP(G42,B1_Calculs!$B$44:$B$68,B1_Calculs!$AB$44:$AB$68):_xlfn.XLOOKUP(G42,B1_Calculs!$B$44:$B$68,B1_Calculs!$AF$44:$AF$68))</f>
        <v>100022.8574412</v>
      </c>
      <c r="H69" s="325">
        <f>SUM(_xlfn.XLOOKUP(H42,B1_Calculs!$B$44:$B$68,B1_Calculs!$AB$44:$AB$68):_xlfn.XLOOKUP(H42,B1_Calculs!$B$44:$B$68,B1_Calculs!$AF$44:$AF$68))</f>
        <v>101023.086015612</v>
      </c>
      <c r="I69" s="325">
        <f>SUM(_xlfn.XLOOKUP(I42,B1_Calculs!$B$44:$B$68,B1_Calculs!$AB$44:$AB$68):_xlfn.XLOOKUP(I42,B1_Calculs!$B$44:$B$68,B1_Calculs!$AF$44:$AF$68))</f>
        <v>118359.49679201152</v>
      </c>
      <c r="J69" s="325">
        <f>SUM(_xlfn.XLOOKUP(J42,B1_Calculs!$B$44:$B$68,B1_Calculs!$AB$44:$AB$68):_xlfn.XLOOKUP(J42,B1_Calculs!$B$44:$B$68,B1_Calculs!$AF$44:$AF$68))</f>
        <v>119543.0917599316</v>
      </c>
      <c r="K69" s="325">
        <f>SUM(_xlfn.XLOOKUP(K42,B1_Calculs!$B$44:$B$68,B1_Calculs!$AB$44:$AB$68):_xlfn.XLOOKUP(K42,B1_Calculs!$B$44:$B$68,B1_Calculs!$AF$44:$AF$68))</f>
        <v>120738.52267753096</v>
      </c>
      <c r="L69" s="325">
        <f>SUM(_xlfn.XLOOKUP(L42,B1_Calculs!$B$44:$B$68,B1_Calculs!$AB$44:$AB$68):_xlfn.XLOOKUP(L42,B1_Calculs!$B$44:$B$68,B1_Calculs!$AF$44:$AF$68))</f>
        <v>121945.90790430628</v>
      </c>
      <c r="M69" s="325">
        <f>SUM(_xlfn.XLOOKUP(M42,B1_Calculs!$B$44:$B$68,B1_Calculs!$AB$44:$AB$68):_xlfn.XLOOKUP(M42,B1_Calculs!$B$44:$B$68,B1_Calculs!$AF$44:$AF$68))</f>
        <v>123165.36698334933</v>
      </c>
      <c r="N69" s="325">
        <f>SUM(_xlfn.XLOOKUP(N42,B1_Calculs!$B$44:$B$68,B1_Calculs!$AB$44:$AB$68):_xlfn.XLOOKUP(N42,B1_Calculs!$B$44:$B$68,B1_Calculs!$AF$44:$AF$68))</f>
        <v>124397.02065318279</v>
      </c>
      <c r="O69" s="325">
        <f>SUM(_xlfn.XLOOKUP(O42,B1_Calculs!$B$44:$B$68,B1_Calculs!$AB$44:$AB$68):_xlfn.XLOOKUP(O42,B1_Calculs!$B$44:$B$68,B1_Calculs!$AF$44:$AF$68))</f>
        <v>125640.99085971463</v>
      </c>
      <c r="P69" s="325">
        <f>SUM(_xlfn.XLOOKUP(P42,B1_Calculs!$B$44:$B$68,B1_Calculs!$AB$44:$AB$68):_xlfn.XLOOKUP(P42,B1_Calculs!$B$44:$B$68,B1_Calculs!$AF$44:$AF$68))</f>
        <v>126897.40076831178</v>
      </c>
      <c r="Q69" s="325">
        <f>SUM(_xlfn.XLOOKUP(Q42,B1_Calculs!$B$44:$B$68,B1_Calculs!$AB$44:$AB$68):_xlfn.XLOOKUP(Q42,B1_Calculs!$B$44:$B$68,B1_Calculs!$AF$44:$AF$68))</f>
        <v>128166.3747759949</v>
      </c>
      <c r="R69" s="325">
        <f>SUM(_xlfn.XLOOKUP(R42,B1_Calculs!$B$44:$B$68,B1_Calculs!$AB$44:$AB$68):_xlfn.XLOOKUP(R42,B1_Calculs!$B$44:$B$68,B1_Calculs!$AF$44:$AF$68))</f>
        <v>129448.03852375483</v>
      </c>
      <c r="S69" s="325">
        <f>SUM(_xlfn.XLOOKUP(S42,B1_Calculs!$B$44:$B$68,B1_Calculs!$AB$44:$AB$68):_xlfn.XLOOKUP(S42,B1_Calculs!$B$44:$B$68,B1_Calculs!$AF$44:$AF$68))</f>
        <v>130742.51890899241</v>
      </c>
      <c r="T69" s="325">
        <f>VLOOKUP('A2_Données VAN'!T$62,B1_Calculs!$B$44:$AS$68,7)+VLOOKUP('A2_Données VAN'!T$62,B1_Calculs!$B$44:$AS$68,8)+VLOOKUP('A2_Données VAN'!T$62,B1_Calculs!$B$44:$AS$68,9)</f>
        <v>58048.447768499922</v>
      </c>
      <c r="U69" s="325">
        <f>VLOOKUP('A2_Données VAN'!U$62,B1_Calculs!$B$44:$AS$68,7)+VLOOKUP('A2_Données VAN'!U$62,B1_Calculs!$B$44:$AS$68,8)+VLOOKUP('A2_Données VAN'!U$62,B1_Calculs!$B$44:$AS$68,9)</f>
        <v>0</v>
      </c>
      <c r="V69" s="325">
        <f>VLOOKUP('A2_Données VAN'!V$62,B1_Calculs!$B$44:$AS$68,7)+VLOOKUP('A2_Données VAN'!V$62,B1_Calculs!$B$44:$AS$68,8)+VLOOKUP('A2_Données VAN'!V$62,B1_Calculs!$B$44:$AS$68,9)</f>
        <v>0</v>
      </c>
    </row>
    <row r="70" spans="1:22" x14ac:dyDescent="0.2">
      <c r="A70" s="3">
        <v>926</v>
      </c>
      <c r="B70" s="306" t="s">
        <v>464</v>
      </c>
      <c r="C70" s="307" t="s">
        <v>432</v>
      </c>
      <c r="D70" s="325">
        <f>SUM(_xlfn.XLOOKUP(D42,B1_Calculs!$B$44:$B$68,B1_Calculs!$U$44:$U$68):_xlfn.XLOOKUP(D42,B1_Calculs!$B$44:$B$68,B1_Calculs!$AA$44:$AA$68))</f>
        <v>25264.227710526317</v>
      </c>
      <c r="E70" s="325">
        <f>SUM(_xlfn.XLOOKUP(E42,B1_Calculs!$B$44:$B$68,B1_Calculs!$U$44:$U$68):_xlfn.XLOOKUP(E42,B1_Calculs!$B$44:$B$68,B1_Calculs!$AA$44:$AA$68))</f>
        <v>84173.284162661454</v>
      </c>
      <c r="F70" s="325">
        <f>SUM(_xlfn.XLOOKUP(F42,B1_Calculs!$B$44:$B$68,B1_Calculs!$U$44:$U$68):_xlfn.XLOOKUP(F42,B1_Calculs!$B$44:$B$68,B1_Calculs!$AA$44:$AA$68))</f>
        <v>127332.14943911196</v>
      </c>
      <c r="G70" s="325">
        <f>SUM(_xlfn.XLOOKUP(G42,B1_Calculs!$B$44:$B$68,B1_Calculs!$U$44:$U$68):_xlfn.XLOOKUP(G42,B1_Calculs!$B$44:$B$68,B1_Calculs!$AA$44:$AA$68))</f>
        <v>143962.90044065393</v>
      </c>
      <c r="H70" s="325">
        <f>SUM(_xlfn.XLOOKUP(H42,B1_Calculs!$B$44:$B$68,B1_Calculs!$U$44:$U$68):_xlfn.XLOOKUP(H42,B1_Calculs!$B$44:$B$68,B1_Calculs!$AA$44:$AA$68))</f>
        <v>143948.50415060984</v>
      </c>
      <c r="I70" s="325">
        <f>SUM(_xlfn.XLOOKUP(I42,B1_Calculs!$B$44:$B$68,B1_Calculs!$U$44:$U$68):_xlfn.XLOOKUP(I42,B1_Calculs!$B$44:$B$68,B1_Calculs!$AA$44:$AA$68))</f>
        <v>143934.1093001948</v>
      </c>
      <c r="J70" s="325">
        <f>SUM(_xlfn.XLOOKUP(J42,B1_Calculs!$B$44:$B$68,B1_Calculs!$U$44:$U$68):_xlfn.XLOOKUP(J42,B1_Calculs!$B$44:$B$68,B1_Calculs!$AA$44:$AA$68))</f>
        <v>143919.71588926477</v>
      </c>
      <c r="K70" s="325">
        <f>SUM(_xlfn.XLOOKUP(K42,B1_Calculs!$B$44:$B$68,B1_Calculs!$U$44:$U$68):_xlfn.XLOOKUP(K42,B1_Calculs!$B$44:$B$68,B1_Calculs!$AA$44:$AA$68))</f>
        <v>148113.08192696463</v>
      </c>
      <c r="L70" s="325">
        <f>SUM(_xlfn.XLOOKUP(L42,B1_Calculs!$B$44:$B$68,B1_Calculs!$U$44:$U$68):_xlfn.XLOOKUP(L42,B1_Calculs!$B$44:$B$68,B1_Calculs!$AA$44:$AA$68))</f>
        <v>152305.6078522598</v>
      </c>
      <c r="M70" s="325">
        <f>SUM(_xlfn.XLOOKUP(M42,B1_Calculs!$B$44:$B$68,B1_Calculs!$U$44:$U$68):_xlfn.XLOOKUP(M42,B1_Calculs!$B$44:$B$68,B1_Calculs!$AA$44:$AA$68))</f>
        <v>152290.37729147455</v>
      </c>
      <c r="N70" s="325">
        <f>SUM(_xlfn.XLOOKUP(N42,B1_Calculs!$B$44:$B$68,B1_Calculs!$U$44:$U$68):_xlfn.XLOOKUP(N42,B1_Calculs!$B$44:$B$68,B1_Calculs!$AA$44:$AA$68))</f>
        <v>152275.14825374537</v>
      </c>
      <c r="O70" s="325">
        <f>SUM(_xlfn.XLOOKUP(O42,B1_Calculs!$B$44:$B$68,B1_Calculs!$U$44:$U$68):_xlfn.XLOOKUP(O42,B1_Calculs!$B$44:$B$68,B1_Calculs!$AA$44:$AA$68))</f>
        <v>152259.92073891996</v>
      </c>
      <c r="P70" s="325">
        <f>SUM(_xlfn.XLOOKUP(P42,B1_Calculs!$B$44:$B$68,B1_Calculs!$U$44:$U$68):_xlfn.XLOOKUP(P42,B1_Calculs!$B$44:$B$68,B1_Calculs!$AA$44:$AA$68))</f>
        <v>152244.69474684607</v>
      </c>
      <c r="Q70" s="325">
        <f>SUM(_xlfn.XLOOKUP(Q42,B1_Calculs!$B$44:$B$68,B1_Calculs!$U$44:$U$68):_xlfn.XLOOKUP(Q42,B1_Calculs!$B$44:$B$68,B1_Calculs!$AA$44:$AA$68))</f>
        <v>152229.47027737141</v>
      </c>
      <c r="R70" s="325">
        <f>SUM(_xlfn.XLOOKUP(R42,B1_Calculs!$B$44:$B$68,B1_Calculs!$U$44:$U$68):_xlfn.XLOOKUP(R42,B1_Calculs!$B$44:$B$68,B1_Calculs!$AA$44:$AA$68))</f>
        <v>152214.24733034367</v>
      </c>
      <c r="S70" s="325">
        <f>SUM(_xlfn.XLOOKUP(S42,B1_Calculs!$B$44:$B$68,B1_Calculs!$U$44:$U$68):_xlfn.XLOOKUP(S42,B1_Calculs!$B$44:$B$68,B1_Calculs!$AA$44:$AA$68))</f>
        <v>152199.02590561067</v>
      </c>
      <c r="T70" s="325">
        <f>VLOOKUP('A2_Données VAN'!T$62,B1_Calculs!$B$44:$AS$68,4)+VLOOKUP('A2_Données VAN'!T$62,B1_Calculs!$B$44:$AS$68,5)+VLOOKUP('A2_Données VAN'!T$62,B1_Calculs!$B$44:$AS$68,6)</f>
        <v>58048.447768499922</v>
      </c>
      <c r="U70" s="325">
        <f>VLOOKUP('A2_Données VAN'!U$62,B1_Calculs!$B$44:$AS$68,4)+VLOOKUP('A2_Données VAN'!U$62,B1_Calculs!$B$44:$AS$68,5)+VLOOKUP('A2_Données VAN'!U$62,B1_Calculs!$B$44:$AS$68,6)</f>
        <v>0</v>
      </c>
      <c r="V70" s="325">
        <f>VLOOKUP('A2_Données VAN'!V$62,B1_Calculs!$B$44:$AS$68,4)+VLOOKUP('A2_Données VAN'!V$62,B1_Calculs!$B$44:$AS$68,5)+VLOOKUP('A2_Données VAN'!V$62,B1_Calculs!$B$44:$AS$68,6)</f>
        <v>0</v>
      </c>
    </row>
    <row r="71" spans="1:22" x14ac:dyDescent="0.2">
      <c r="A71" s="300"/>
      <c r="B71" s="22" t="s">
        <v>465</v>
      </c>
      <c r="C71" s="304" t="s">
        <v>432</v>
      </c>
      <c r="D71" s="327"/>
      <c r="E71" s="327"/>
      <c r="F71" s="327"/>
      <c r="G71" s="327"/>
      <c r="H71" s="327"/>
      <c r="I71" s="327"/>
      <c r="J71" s="327"/>
      <c r="K71" s="327"/>
      <c r="L71" s="327"/>
      <c r="M71" s="327"/>
      <c r="N71" s="327"/>
      <c r="O71" s="327"/>
      <c r="P71" s="327"/>
      <c r="Q71" s="327"/>
      <c r="R71" s="327"/>
      <c r="S71" s="327"/>
      <c r="T71" s="327"/>
      <c r="U71" s="327"/>
      <c r="V71" s="327"/>
    </row>
    <row r="72" spans="1:22" x14ac:dyDescent="0.2">
      <c r="A72" s="300"/>
      <c r="B72" s="304"/>
      <c r="C72" s="304"/>
      <c r="D72" s="329"/>
      <c r="E72" s="329"/>
      <c r="F72" s="329"/>
      <c r="G72" s="329"/>
      <c r="H72" s="329"/>
      <c r="I72" s="329"/>
      <c r="J72" s="329"/>
      <c r="K72" s="329"/>
      <c r="L72" s="329"/>
      <c r="M72" s="329"/>
      <c r="N72" s="329"/>
      <c r="O72" s="329"/>
      <c r="P72" s="329"/>
      <c r="Q72" s="329"/>
      <c r="R72" s="329"/>
      <c r="S72" s="329"/>
      <c r="T72" s="329"/>
      <c r="U72" s="329"/>
      <c r="V72" s="329"/>
    </row>
    <row r="73" spans="1:22" x14ac:dyDescent="0.2">
      <c r="A73" s="300"/>
      <c r="B73" s="15" t="s">
        <v>466</v>
      </c>
      <c r="C73" s="15"/>
      <c r="D73" s="15"/>
      <c r="E73" s="15"/>
      <c r="F73" s="15"/>
      <c r="G73" s="15"/>
      <c r="H73" s="15"/>
      <c r="I73" s="15"/>
      <c r="J73" s="15"/>
      <c r="K73" s="15"/>
      <c r="L73" s="15"/>
      <c r="M73" s="15"/>
      <c r="N73" s="15"/>
      <c r="O73" s="15"/>
      <c r="P73" s="15"/>
      <c r="Q73" s="15"/>
      <c r="R73" s="15"/>
      <c r="S73" s="15"/>
      <c r="T73" s="15"/>
      <c r="U73" s="15"/>
      <c r="V73" s="15"/>
    </row>
    <row r="74" spans="1:22" x14ac:dyDescent="0.2">
      <c r="A74" s="3">
        <v>927</v>
      </c>
      <c r="B74" s="304" t="s">
        <v>467</v>
      </c>
      <c r="C74" s="304" t="s">
        <v>432</v>
      </c>
      <c r="D74" s="325">
        <f>_xlfn.XLOOKUP(D$42,B1_Calculs!$B$44:$B$68,B1_Calculs!$G$44:$G$68)</f>
        <v>-362000</v>
      </c>
      <c r="E74" s="325">
        <f>_xlfn.XLOOKUP(E$42,B1_Calculs!$B$44:$B$68,B1_Calculs!$G$44:$G$68)</f>
        <v>-414000</v>
      </c>
      <c r="F74" s="325">
        <f>_xlfn.XLOOKUP(F$42,B1_Calculs!$B$44:$B$68,B1_Calculs!$G$44:$G$68)</f>
        <v>-350000</v>
      </c>
      <c r="G74" s="325">
        <f>_xlfn.XLOOKUP(G$42,B1_Calculs!$B$44:$B$68,B1_Calculs!$G$44:$G$68)</f>
        <v>0</v>
      </c>
      <c r="H74" s="325">
        <f>_xlfn.XLOOKUP(H$42,B1_Calculs!$B$44:$B$68,B1_Calculs!$G$44:$G$68)</f>
        <v>0</v>
      </c>
      <c r="I74" s="325">
        <f>_xlfn.XLOOKUP(I$42,B1_Calculs!$B$44:$B$68,B1_Calculs!$G$44:$G$68)</f>
        <v>0</v>
      </c>
      <c r="J74" s="325">
        <f>_xlfn.XLOOKUP(J$42,B1_Calculs!$B$44:$B$68,B1_Calculs!$G$44:$G$68)</f>
        <v>0</v>
      </c>
      <c r="K74" s="325">
        <f>_xlfn.XLOOKUP(K$42,B1_Calculs!$B$44:$B$68,B1_Calculs!$G$44:$G$68)</f>
        <v>-65000</v>
      </c>
      <c r="L74" s="325">
        <f>_xlfn.XLOOKUP(L$42,B1_Calculs!$B$44:$B$68,B1_Calculs!$G$44:$G$68)</f>
        <v>0</v>
      </c>
      <c r="M74" s="325">
        <f>_xlfn.XLOOKUP(M$42,B1_Calculs!$B$44:$B$68,B1_Calculs!$G$44:$G$68)</f>
        <v>0</v>
      </c>
      <c r="N74" s="325">
        <f>_xlfn.XLOOKUP(N$42,B1_Calculs!$B$44:$B$68,B1_Calculs!$G$44:$G$68)</f>
        <v>0</v>
      </c>
      <c r="O74" s="325">
        <f>_xlfn.XLOOKUP(O$42,B1_Calculs!$B$44:$B$68,B1_Calculs!$G$44:$G$68)</f>
        <v>0</v>
      </c>
      <c r="P74" s="325">
        <f>_xlfn.XLOOKUP(P$42,B1_Calculs!$B$44:$B$68,B1_Calculs!$G$44:$G$68)</f>
        <v>0</v>
      </c>
      <c r="Q74" s="325">
        <f>_xlfn.XLOOKUP(Q$42,B1_Calculs!$B$44:$B$68,B1_Calculs!$G$44:$G$68)</f>
        <v>0</v>
      </c>
      <c r="R74" s="325">
        <f>_xlfn.XLOOKUP(R$42,B1_Calculs!$B$44:$B$68,B1_Calculs!$G$44:$G$68)</f>
        <v>0</v>
      </c>
      <c r="S74" s="325">
        <f>_xlfn.XLOOKUP(S$42,B1_Calculs!$B$44:$B$68,B1_Calculs!$G$44:$G$68)</f>
        <v>0</v>
      </c>
      <c r="T74" s="325">
        <f>VLOOKUP('A2_Données VAN'!T$62,B1_Calculs!$B$44:$S$68,16)</f>
        <v>0</v>
      </c>
      <c r="U74" s="325">
        <f>VLOOKUP('A2_Données VAN'!U$62,B1_Calculs!$B$44:$S$68,16)</f>
        <v>0</v>
      </c>
      <c r="V74" s="325">
        <f>VLOOKUP('A2_Données VAN'!V$62,B1_Calculs!$B$44:$S$68,16)</f>
        <v>0</v>
      </c>
    </row>
    <row r="75" spans="1:22" x14ac:dyDescent="0.2">
      <c r="A75" s="3">
        <v>928</v>
      </c>
      <c r="B75" s="304" t="s">
        <v>468</v>
      </c>
      <c r="C75" s="304" t="s">
        <v>432</v>
      </c>
      <c r="D75" s="325">
        <f>_xlfn.XLOOKUP(D$42,B1_Calculs!$B$44:$B$68,B1_Calculs!$N$44:$N$68)</f>
        <v>60064.7</v>
      </c>
      <c r="E75" s="325">
        <f>_xlfn.XLOOKUP(E$42,B1_Calculs!$B$44:$B$68,B1_Calculs!$N$44:$N$68)</f>
        <v>210542.51429950001</v>
      </c>
      <c r="F75" s="325">
        <f>_xlfn.XLOOKUP(F$42,B1_Calculs!$B$44:$B$68,B1_Calculs!$N$44:$N$68)</f>
        <v>326410.46694780339</v>
      </c>
      <c r="G75" s="325">
        <f>_xlfn.XLOOKUP(G$42,B1_Calculs!$B$44:$B$68,B1_Calculs!$N$44:$N$68)</f>
        <v>371787.51373451087</v>
      </c>
      <c r="H75" s="325">
        <f>_xlfn.XLOOKUP(H$42,B1_Calculs!$B$44:$B$68,B1_Calculs!$N$44:$N$68)</f>
        <v>373261.05682915112</v>
      </c>
      <c r="I75" s="325">
        <f>_xlfn.XLOOKUP(I$42,B1_Calculs!$B$44:$B$68,B1_Calculs!$N$44:$N$68)</f>
        <v>374749.55978794215</v>
      </c>
      <c r="J75" s="325">
        <f>_xlfn.XLOOKUP(J$42,B1_Calculs!$B$44:$B$68,B1_Calculs!$N$44:$N$68)</f>
        <v>376253.17218708189</v>
      </c>
      <c r="K75" s="325">
        <f>_xlfn.XLOOKUP(K$42,B1_Calculs!$B$44:$B$68,B1_Calculs!$N$44:$N$68)</f>
        <v>389193.84492877685</v>
      </c>
      <c r="L75" s="325">
        <f>_xlfn.XLOOKUP(L$42,B1_Calculs!$B$44:$B$68,B1_Calculs!$N$44:$N$68)</f>
        <v>402247.17176531558</v>
      </c>
      <c r="M75" s="325">
        <f>_xlfn.XLOOKUP(M$42,B1_Calculs!$B$44:$B$68,B1_Calculs!$N$44:$N$68)</f>
        <v>403895.25150461751</v>
      </c>
      <c r="N75" s="325">
        <f>_xlfn.XLOOKUP(N$42,B1_Calculs!$B$44:$B$68,B1_Calculs!$N$44:$N$68)</f>
        <v>405560.04948051029</v>
      </c>
      <c r="O75" s="325">
        <f>_xlfn.XLOOKUP(O$42,B1_Calculs!$B$44:$B$68,B1_Calculs!$N$44:$N$68)</f>
        <v>407241.73285161599</v>
      </c>
      <c r="P75" s="325">
        <f>_xlfn.XLOOKUP(P$42,B1_Calculs!$B$44:$B$68,B1_Calculs!$N$44:$N$68)</f>
        <v>408940.47044814506</v>
      </c>
      <c r="Q75" s="325">
        <f>_xlfn.XLOOKUP(Q$42,B1_Calculs!$B$44:$B$68,B1_Calculs!$N$44:$N$68)</f>
        <v>410656.43278861267</v>
      </c>
      <c r="R75" s="325">
        <f>_xlfn.XLOOKUP(R$42,B1_Calculs!$B$44:$B$68,B1_Calculs!$N$44:$N$68)</f>
        <v>412389.79209672124</v>
      </c>
      <c r="S75" s="325">
        <f>_xlfn.XLOOKUP(S$42,B1_Calculs!$B$44:$B$68,B1_Calculs!$N$44:$N$68)</f>
        <v>414140.72231841303</v>
      </c>
      <c r="T75" s="325">
        <f>VLOOKUP('A2_Données VAN'!T$62,B1_Calculs!$B$44:$S$68,15)</f>
        <v>0</v>
      </c>
      <c r="U75" s="325">
        <f>VLOOKUP('A2_Données VAN'!U$62,B1_Calculs!$B$44:$S$68,15)</f>
        <v>0</v>
      </c>
      <c r="V75" s="325">
        <f>VLOOKUP('A2_Données VAN'!V$62,B1_Calculs!$B$44:$S$68,15)</f>
        <v>0</v>
      </c>
    </row>
    <row r="76" spans="1:22" x14ac:dyDescent="0.2">
      <c r="A76" s="3">
        <v>929</v>
      </c>
      <c r="B76" s="304" t="s">
        <v>469</v>
      </c>
      <c r="C76" s="304" t="s">
        <v>432</v>
      </c>
      <c r="D76" s="325">
        <f>_xlfn.XLOOKUP(D$42,B1_Calculs!$B$44:$B$68,B1_Calculs!$F$44:$F$68)</f>
        <v>0</v>
      </c>
      <c r="E76" s="325">
        <f>_xlfn.XLOOKUP(E$42,B1_Calculs!$B$44:$B$68,B1_Calculs!$F$44:$F$68)</f>
        <v>-300000</v>
      </c>
      <c r="F76" s="325">
        <f>_xlfn.XLOOKUP(F$42,B1_Calculs!$B$44:$B$68,B1_Calculs!$F$44:$F$68)</f>
        <v>0</v>
      </c>
      <c r="G76" s="325">
        <f>_xlfn.XLOOKUP(G$42,B1_Calculs!$B$44:$B$68,B1_Calculs!$F$44:$F$68)</f>
        <v>0</v>
      </c>
      <c r="H76" s="325">
        <f>_xlfn.XLOOKUP(H$42,B1_Calculs!$B$44:$B$68,B1_Calculs!$F$44:$F$68)</f>
        <v>0</v>
      </c>
      <c r="I76" s="325">
        <f>_xlfn.XLOOKUP(I$42,B1_Calculs!$B$44:$B$68,B1_Calculs!$F$44:$F$68)</f>
        <v>0</v>
      </c>
      <c r="J76" s="325">
        <f>_xlfn.XLOOKUP(J$42,B1_Calculs!$B$44:$B$68,B1_Calculs!$F$44:$F$68)</f>
        <v>0</v>
      </c>
      <c r="K76" s="325">
        <f>_xlfn.XLOOKUP(K$42,B1_Calculs!$B$44:$B$68,B1_Calculs!$F$44:$F$68)</f>
        <v>0</v>
      </c>
      <c r="L76" s="325">
        <f>_xlfn.XLOOKUP(L$42,B1_Calculs!$B$44:$B$68,B1_Calculs!$F$44:$F$68)</f>
        <v>0</v>
      </c>
      <c r="M76" s="325">
        <f>_xlfn.XLOOKUP(M$42,B1_Calculs!$B$44:$B$68,B1_Calculs!$F$44:$F$68)</f>
        <v>0</v>
      </c>
      <c r="N76" s="325">
        <f>_xlfn.XLOOKUP(N$42,B1_Calculs!$B$44:$B$68,B1_Calculs!$F$44:$F$68)</f>
        <v>0</v>
      </c>
      <c r="O76" s="325">
        <f>_xlfn.XLOOKUP(O$42,B1_Calculs!$B$44:$B$68,B1_Calculs!$F$44:$F$68)</f>
        <v>0</v>
      </c>
      <c r="P76" s="325">
        <f>_xlfn.XLOOKUP(P$42,B1_Calculs!$B$44:$B$68,B1_Calculs!$F$44:$F$68)</f>
        <v>0</v>
      </c>
      <c r="Q76" s="325">
        <f>_xlfn.XLOOKUP(Q$42,B1_Calculs!$B$44:$B$68,B1_Calculs!$F$44:$F$68)</f>
        <v>0</v>
      </c>
      <c r="R76" s="325">
        <f>_xlfn.XLOOKUP(R$42,B1_Calculs!$B$44:$B$68,B1_Calculs!$F$44:$F$68)</f>
        <v>0</v>
      </c>
      <c r="S76" s="325">
        <f>_xlfn.XLOOKUP(S$42,B1_Calculs!$B$44:$B$68,B1_Calculs!$F$44:$F$68)</f>
        <v>0</v>
      </c>
      <c r="T76" s="325">
        <f>((T62='E1_Données de projet'!$D$109)*'E1_Données de projet'!$D$108+(T62='E1_Données de projet'!$D$111)*'E1_Données de projet'!$D$110)*('A2_Données VAN'!T62&gt;0)</f>
        <v>0</v>
      </c>
      <c r="U76" s="325">
        <f>((U62='E1_Données de projet'!$D$109)*'E1_Données de projet'!$D$108+(U62='E1_Données de projet'!$D$111)*'E1_Données de projet'!$D$110)*('A2_Données VAN'!U62&gt;0)</f>
        <v>0</v>
      </c>
      <c r="V76" s="325">
        <f>((V62='E1_Données de projet'!$D$109)*'E1_Données de projet'!$D$108+(V62='E1_Données de projet'!$D$111)*'E1_Données de projet'!$D$110)*('A2_Données VAN'!V62&gt;0)</f>
        <v>0</v>
      </c>
    </row>
    <row r="77" spans="1:22" x14ac:dyDescent="0.2">
      <c r="A77" s="300"/>
      <c r="D77" s="300"/>
      <c r="E77" s="300"/>
      <c r="F77" s="300"/>
      <c r="G77" s="300"/>
      <c r="H77" s="300"/>
      <c r="I77" s="300"/>
      <c r="J77" s="300"/>
      <c r="K77" s="300"/>
      <c r="L77" s="300"/>
      <c r="M77" s="300"/>
      <c r="N77" s="300"/>
      <c r="O77" s="300"/>
      <c r="P77" s="300"/>
      <c r="Q77" s="300"/>
      <c r="R77" s="300"/>
      <c r="S77" s="300"/>
      <c r="T77" s="300"/>
      <c r="U77" s="300"/>
      <c r="V77" s="300"/>
    </row>
    <row r="78" spans="1:22" x14ac:dyDescent="0.2">
      <c r="A78" s="3">
        <v>930</v>
      </c>
      <c r="B78" s="23" t="s">
        <v>470</v>
      </c>
      <c r="D78" s="300"/>
      <c r="E78" s="300"/>
      <c r="F78" s="300"/>
      <c r="G78" s="300"/>
      <c r="H78" s="300"/>
      <c r="I78" s="300"/>
      <c r="J78" s="300"/>
      <c r="K78" s="300"/>
      <c r="L78" s="300"/>
      <c r="M78" s="300"/>
      <c r="N78" s="300"/>
      <c r="O78" s="300"/>
      <c r="P78" s="300"/>
      <c r="Q78" s="300"/>
      <c r="R78" s="300"/>
      <c r="S78" s="300"/>
      <c r="T78" s="300"/>
      <c r="U78" s="300"/>
      <c r="V78" s="300"/>
    </row>
    <row r="79" spans="1:22" x14ac:dyDescent="0.2">
      <c r="A79" s="3">
        <v>561</v>
      </c>
      <c r="B79" s="300" t="s">
        <v>471</v>
      </c>
      <c r="C79" s="304" t="s">
        <v>432</v>
      </c>
      <c r="D79" s="330">
        <f>VLOOKUP('A2_Données VAN'!D$62,B1_Calculs!$B$44:$S$68,10)</f>
        <v>0</v>
      </c>
      <c r="E79" s="330">
        <f>VLOOKUP('A2_Données VAN'!E$62,B1_Calculs!$B$44:$S$68,10)</f>
        <v>70000</v>
      </c>
      <c r="F79" s="330">
        <f>VLOOKUP('A2_Données VAN'!F$62,B1_Calculs!$B$44:$S$68,10)</f>
        <v>478000</v>
      </c>
      <c r="G79" s="330">
        <f>VLOOKUP('A2_Données VAN'!G$62,B1_Calculs!$B$44:$S$68,10)</f>
        <v>828000</v>
      </c>
      <c r="H79" s="330">
        <f>VLOOKUP('A2_Données VAN'!H$62,B1_Calculs!$B$44:$S$68,10)</f>
        <v>828000</v>
      </c>
      <c r="I79" s="330">
        <f>VLOOKUP('A2_Données VAN'!I$62,B1_Calculs!$B$44:$S$68,10)</f>
        <v>828000</v>
      </c>
      <c r="J79" s="330">
        <f>VLOOKUP('A2_Données VAN'!J$62,B1_Calculs!$B$44:$S$68,10)</f>
        <v>216000</v>
      </c>
      <c r="K79" s="330">
        <f>VLOOKUP('A2_Données VAN'!K$62,B1_Calculs!$B$44:$S$68,10)</f>
        <v>216000</v>
      </c>
      <c r="L79" s="330">
        <f>VLOOKUP('A2_Données VAN'!L$62,B1_Calculs!$B$44:$S$68,10)</f>
        <v>281000</v>
      </c>
      <c r="M79" s="330">
        <f>VLOOKUP('A2_Données VAN'!M$62,B1_Calculs!$B$44:$S$68,10)</f>
        <v>281000</v>
      </c>
      <c r="N79" s="330">
        <f>VLOOKUP('A2_Données VAN'!N$62,B1_Calculs!$B$44:$S$68,10)</f>
        <v>281000</v>
      </c>
      <c r="O79" s="330">
        <f>VLOOKUP('A2_Données VAN'!O$62,B1_Calculs!$B$44:$S$68,10)</f>
        <v>281000</v>
      </c>
      <c r="P79" s="330">
        <f>VLOOKUP('A2_Données VAN'!P$62,B1_Calculs!$B$44:$S$68,10)</f>
        <v>281000</v>
      </c>
      <c r="Q79" s="330">
        <f>VLOOKUP('A2_Données VAN'!Q$62,B1_Calculs!$B$44:$S$68,10)</f>
        <v>281000</v>
      </c>
      <c r="R79" s="330">
        <f>VLOOKUP('A2_Données VAN'!R$62,B1_Calculs!$B$44:$S$68,10)</f>
        <v>281000</v>
      </c>
      <c r="S79" s="330">
        <f>VLOOKUP('A2_Données VAN'!S$62,B1_Calculs!$B$44:$S$68,10)</f>
        <v>281000</v>
      </c>
      <c r="T79" s="330">
        <f>VLOOKUP('A2_Données VAN'!T$62,B1_Calculs!$B$44:$S$68,10)</f>
        <v>222951.55223150007</v>
      </c>
      <c r="U79" s="330">
        <f>VLOOKUP('A2_Données VAN'!U$62,B1_Calculs!$B$44:$S$68,10)</f>
        <v>222951.55223150007</v>
      </c>
      <c r="V79" s="300"/>
    </row>
    <row r="80" spans="1:22" x14ac:dyDescent="0.2">
      <c r="A80" s="3">
        <v>574</v>
      </c>
      <c r="B80" s="300" t="s">
        <v>472</v>
      </c>
      <c r="C80" s="304" t="s">
        <v>432</v>
      </c>
      <c r="D80" s="330">
        <f>VLOOKUP('A2_Données VAN'!D$62,B1_Calculs!$B$44:$S$68,18)</f>
        <v>0</v>
      </c>
      <c r="E80" s="330">
        <f>VLOOKUP('A2_Données VAN'!E$62,B1_Calculs!$B$44:$S$68,18)</f>
        <v>0</v>
      </c>
      <c r="F80" s="330">
        <f>VLOOKUP('A2_Données VAN'!F$62,B1_Calculs!$B$44:$S$68,18)</f>
        <v>0</v>
      </c>
      <c r="G80" s="330">
        <f>VLOOKUP('A2_Données VAN'!G$62,B1_Calculs!$B$44:$S$68,18)</f>
        <v>0</v>
      </c>
      <c r="H80" s="330">
        <f>VLOOKUP('A2_Données VAN'!H$62,B1_Calculs!$B$44:$S$68,18)</f>
        <v>0</v>
      </c>
      <c r="I80" s="330">
        <f>VLOOKUP('A2_Données VAN'!I$62,B1_Calculs!$B$44:$S$68,18)</f>
        <v>0</v>
      </c>
      <c r="J80" s="330">
        <f>VLOOKUP('A2_Données VAN'!J$62,B1_Calculs!$B$44:$S$68,18)</f>
        <v>0</v>
      </c>
      <c r="K80" s="330">
        <f>VLOOKUP('A2_Données VAN'!K$62,B1_Calculs!$B$44:$S$68,18)</f>
        <v>0</v>
      </c>
      <c r="L80" s="330">
        <f>VLOOKUP('A2_Données VAN'!L$62,B1_Calculs!$B$44:$S$68,18)</f>
        <v>0</v>
      </c>
      <c r="M80" s="330">
        <f>VLOOKUP('A2_Données VAN'!M$62,B1_Calculs!$B$44:$S$68,18)</f>
        <v>0</v>
      </c>
      <c r="N80" s="330">
        <f>VLOOKUP('A2_Données VAN'!N$62,B1_Calculs!$B$44:$S$68,18)</f>
        <v>0</v>
      </c>
      <c r="O80" s="330">
        <f>VLOOKUP('A2_Données VAN'!O$62,B1_Calculs!$B$44:$S$68,18)</f>
        <v>0</v>
      </c>
      <c r="P80" s="330">
        <f>VLOOKUP('A2_Données VAN'!P$62,B1_Calculs!$B$44:$S$68,18)</f>
        <v>0</v>
      </c>
      <c r="Q80" s="330">
        <f>VLOOKUP('A2_Données VAN'!Q$62,B1_Calculs!$B$44:$S$68,18)</f>
        <v>0</v>
      </c>
      <c r="R80" s="330">
        <f>VLOOKUP('A2_Données VAN'!R$62,B1_Calculs!$B$44:$S$68,18)</f>
        <v>0</v>
      </c>
      <c r="S80" s="330">
        <f>VLOOKUP('A2_Données VAN'!S$62,B1_Calculs!$B$44:$S$68,18)</f>
        <v>0</v>
      </c>
      <c r="T80" s="330">
        <f>VLOOKUP('A2_Données VAN'!T$62,B1_Calculs!$B$44:$S$68,18)</f>
        <v>0</v>
      </c>
      <c r="U80" s="330">
        <f>VLOOKUP('A2_Données VAN'!U$62,B1_Calculs!$B$44:$S$68,18)</f>
        <v>0</v>
      </c>
      <c r="V80" s="300"/>
    </row>
    <row r="1048576" ht="12.75" hidden="1" customHeight="1" x14ac:dyDescent="0.2"/>
  </sheetData>
  <sheetProtection algorithmName="SHA-512" hashValue="14c2PmTZXbdWy7uqTvq8+vFtuodtcQTshlgiiDNAszA1/GVVPuqnV9ZYsBn42RJWLxaxuXaCxZIV1RGoXmy4xw==" saltValue="lhSqaVJOi1ojm1KiHL3/3A==" spinCount="100000" sheet="1" objects="1" scenarios="1"/>
  <mergeCells count="4">
    <mergeCell ref="C7:C8"/>
    <mergeCell ref="D7:D8"/>
    <mergeCell ref="E7:E8"/>
    <mergeCell ref="F7:F8"/>
  </mergeCells>
  <conditionalFormatting sqref="D79:U80">
    <cfRule type="cellIs" dxfId="1" priority="1" operator="greaterThan">
      <formula>0</formula>
    </cfRule>
  </conditionalFormatting>
  <conditionalFormatting sqref="T62:V76">
    <cfRule type="expression" dxfId="0" priority="2">
      <formula>T$62&gt;$S$42</formula>
    </cfRule>
  </conditionalFormatting>
  <hyperlinks>
    <hyperlink ref="A1" location="I1_900" display="I1_900" xr:uid="{00000000-0004-0000-0600-000000000000}"/>
    <hyperlink ref="A3" location="I1_104" display="I1_104" xr:uid="{00000000-0004-0000-0600-000001000000}"/>
    <hyperlink ref="A5" location="I1_910" display="I1_910" xr:uid="{00000000-0004-0000-0600-000002000000}"/>
    <hyperlink ref="A6" location="I1_911" display="I1_911" xr:uid="{00000000-0004-0000-0600-000003000000}"/>
    <hyperlink ref="A25" location="I1_912" display="I1_912" xr:uid="{00000000-0004-0000-0600-000004000000}"/>
    <hyperlink ref="A42" location="I1_920" display="I1_920" xr:uid="{00000000-0004-0000-0600-000005000000}"/>
    <hyperlink ref="A44" location="I1_921" display="I1_921" xr:uid="{00000000-0004-0000-0600-000006000000}"/>
    <hyperlink ref="A61" location="I1_922" display="I1_922" xr:uid="{00000000-0004-0000-0600-000007000000}"/>
    <hyperlink ref="A65" location="I1_923" display="I1_923" xr:uid="{00000000-0004-0000-0600-000008000000}"/>
    <hyperlink ref="A66" location="I1_924" display="I1_924" xr:uid="{00000000-0004-0000-0600-000009000000}"/>
    <hyperlink ref="A69" location="I1_925" display="I1_925" xr:uid="{00000000-0004-0000-0600-00000A000000}"/>
    <hyperlink ref="A70" location="I1_926" display="I1_926" xr:uid="{00000000-0004-0000-0600-00000B000000}"/>
    <hyperlink ref="A74" location="I1_927" display="I1_927" xr:uid="{00000000-0004-0000-0600-00000C000000}"/>
    <hyperlink ref="A75" location="I1_928" display="I1_928" xr:uid="{00000000-0004-0000-0600-00000D000000}"/>
    <hyperlink ref="A76" location="I1_929" display="I1_929" xr:uid="{00000000-0004-0000-0600-00000E000000}"/>
    <hyperlink ref="A78" location="I1_930" display="I1_930" xr:uid="{00000000-0004-0000-0600-00000F000000}"/>
    <hyperlink ref="A79" location="I1_561" display="I1_561" xr:uid="{00000000-0004-0000-0600-000010000000}"/>
    <hyperlink ref="A80" location="I1_574" display="I1_574" xr:uid="{00000000-0004-0000-0600-000011000000}"/>
  </hyperlinks>
  <pageMargins left="0.78740157480314965" right="0.6692913385826772" top="1.1417322834645669" bottom="1.3385826771653544" header="0.51181102362204722" footer="0.51181102362204722"/>
  <pageSetup paperSize="8" scale="62" orientation="landscape" r:id="rId1"/>
  <headerFooter alignWithMargins="0">
    <oddHeader>&amp;R&amp;G</oddHeader>
    <oddFooter>&amp;L&amp;"Arial,Standard"&amp;10&amp;F&amp;C&amp;"Arial,Standard"&amp;10&amp;P / &amp;N &amp;R&amp;"Arial,Standard"&amp;10&amp;D</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76e047-0872-461b-b125-94bf0a816d33">
      <Terms xmlns="http://schemas.microsoft.com/office/infopath/2007/PartnerControls"/>
    </lcf76f155ced4ddcb4097134ff3c332f>
    <TaxCatchAll xmlns="ff53b779-6d3a-4418-a621-6f7190e5323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959F612D9DB294793DE07DB3E7EB7E8" ma:contentTypeVersion="15" ma:contentTypeDescription="Ein neues Dokument erstellen." ma:contentTypeScope="" ma:versionID="383fc42326aba7668f0c1d7fd40c3fae">
  <xsd:schema xmlns:xsd="http://www.w3.org/2001/XMLSchema" xmlns:xs="http://www.w3.org/2001/XMLSchema" xmlns:p="http://schemas.microsoft.com/office/2006/metadata/properties" xmlns:ns2="1076e047-0872-461b-b125-94bf0a816d33" xmlns:ns3="ff53b779-6d3a-4418-a621-6f7190e53236" targetNamespace="http://schemas.microsoft.com/office/2006/metadata/properties" ma:root="true" ma:fieldsID="037def0e3dab94c22ee6f27b4246267c" ns2:_="" ns3:_="">
    <xsd:import namespace="1076e047-0872-461b-b125-94bf0a816d33"/>
    <xsd:import namespace="ff53b779-6d3a-4418-a621-6f7190e5323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6e047-0872-461b-b125-94bf0a816d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49b60557-1183-4e37-a360-a781dcc912d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53b779-6d3a-4418-a621-6f7190e5323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89ce755-70ac-400c-9626-6a2322ae88b5}" ma:internalName="TaxCatchAll" ma:showField="CatchAllData" ma:web="ff53b779-6d3a-4418-a621-6f7190e532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50BB86-436F-4BF7-BFD6-024EFC4BD345}">
  <ds:schemaRefs>
    <ds:schemaRef ds:uri="http://schemas.microsoft.com/office/2006/metadata/properties"/>
    <ds:schemaRef ds:uri="http://schemas.microsoft.com/office/infopath/2007/PartnerControls"/>
    <ds:schemaRef ds:uri="1076e047-0872-461b-b125-94bf0a816d33"/>
    <ds:schemaRef ds:uri="ff53b779-6d3a-4418-a621-6f7190e53236"/>
  </ds:schemaRefs>
</ds:datastoreItem>
</file>

<file path=customXml/itemProps2.xml><?xml version="1.0" encoding="utf-8"?>
<ds:datastoreItem xmlns:ds="http://schemas.openxmlformats.org/officeDocument/2006/customXml" ds:itemID="{01EC0002-C560-4E26-AD87-AD35F63641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6e047-0872-461b-b125-94bf0a816d33"/>
    <ds:schemaRef ds:uri="ff53b779-6d3a-4418-a621-6f7190e532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58EBC3-2C09-440A-8BCB-BDE02ABE65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467</vt:i4>
      </vt:variant>
    </vt:vector>
  </HeadingPairs>
  <TitlesOfParts>
    <vt:vector size="475" baseType="lpstr">
      <vt:lpstr>I1_Explications</vt:lpstr>
      <vt:lpstr>E1_Données de projet</vt:lpstr>
      <vt:lpstr>E2_Prix de la chaleur</vt:lpstr>
      <vt:lpstr>E3_Consommateurs</vt:lpstr>
      <vt:lpstr>B1_Calculs</vt:lpstr>
      <vt:lpstr>A1_Résultats</vt:lpstr>
      <vt:lpstr>A2_Compte de résultat prévision</vt:lpstr>
      <vt:lpstr>A2_Données VAN</vt:lpstr>
      <vt:lpstr>Anteil_fossil_erzeugt</vt:lpstr>
      <vt:lpstr>Anteil_Invest_E1</vt:lpstr>
      <vt:lpstr>Anteil_InvestTotal_E1</vt:lpstr>
      <vt:lpstr>Anteil_InvestTotal_E2</vt:lpstr>
      <vt:lpstr>Anteil_InvestTotal_E3</vt:lpstr>
      <vt:lpstr>Anteil_InvestTotal_E4</vt:lpstr>
      <vt:lpstr>Anteil_InvestTotal_E5</vt:lpstr>
      <vt:lpstr>BetriebskostenTotal</vt:lpstr>
      <vt:lpstr>BrennstoffkostenBiomasse</vt:lpstr>
      <vt:lpstr>A1_Résultats!Druckbereich</vt:lpstr>
      <vt:lpstr>'A2_Compte de résultat prévision'!Druckbereich</vt:lpstr>
      <vt:lpstr>'A2_Données VAN'!Druckbereich</vt:lpstr>
      <vt:lpstr>B1_Calculs!Druckbereich</vt:lpstr>
      <vt:lpstr>'E1_Données de projet'!Druckbereich</vt:lpstr>
      <vt:lpstr>'E2_Prix de la chaleur'!Druckbereich</vt:lpstr>
      <vt:lpstr>E3_Consommateurs!Druckbereich</vt:lpstr>
      <vt:lpstr>'E1_Données de projet'!Drucktitel</vt:lpstr>
      <vt:lpstr>E3_Consommateurs!Drucktitel</vt:lpstr>
      <vt:lpstr>I1_Explications!Drucktitel</vt:lpstr>
      <vt:lpstr>Eigenverbrauch_HE</vt:lpstr>
      <vt:lpstr>Eigenverbrauch_WP</vt:lpstr>
      <vt:lpstr>Eing_Abnehmerart1</vt:lpstr>
      <vt:lpstr>Eing_Abnehmerart2</vt:lpstr>
      <vt:lpstr>Eing_Abnehmerart3</vt:lpstr>
      <vt:lpstr>Eing_Abnehmerart4</vt:lpstr>
      <vt:lpstr>Eing_Abnehmerart5</vt:lpstr>
      <vt:lpstr>Eing_Abnehmerart6</vt:lpstr>
      <vt:lpstr>Eing_AbnW</vt:lpstr>
      <vt:lpstr>Eing_Administration</vt:lpstr>
      <vt:lpstr>Eing_allg_Teuerung</vt:lpstr>
      <vt:lpstr>Eing_Anteil_AWN</vt:lpstr>
      <vt:lpstr>Eing_Anteil_Biomasse</vt:lpstr>
      <vt:lpstr>Eing_Anteil_Invest_E2</vt:lpstr>
      <vt:lpstr>Eing_Anteil_Invest_E3</vt:lpstr>
      <vt:lpstr>Eing_Anteil_Invest_E4</vt:lpstr>
      <vt:lpstr>Eing_Anteil_Invest_E5</vt:lpstr>
      <vt:lpstr>Eing_Anteil_Kondensation</vt:lpstr>
      <vt:lpstr>Eing_Anteil_WKK</vt:lpstr>
      <vt:lpstr>Eing_Anteil_WP</vt:lpstr>
      <vt:lpstr>Eing_Anteil_Zusatz</vt:lpstr>
      <vt:lpstr>Eing_AnteilEigen_Hilfsenergie</vt:lpstr>
      <vt:lpstr>Eing_AnteilEigen_WP</vt:lpstr>
      <vt:lpstr>Eing_Arbeitspreis1</vt:lpstr>
      <vt:lpstr>Eing_Arbeitspreis2</vt:lpstr>
      <vt:lpstr>Eing_Arbeitspreis3</vt:lpstr>
      <vt:lpstr>Eing_Arbeitspreis4</vt:lpstr>
      <vt:lpstr>Eing_Arbeitspreis5</vt:lpstr>
      <vt:lpstr>Eing_Arbeitspreis6</vt:lpstr>
      <vt:lpstr>Eing_Beginnjahr</vt:lpstr>
      <vt:lpstr>Eing_Betriebskosten</vt:lpstr>
      <vt:lpstr>Eing_Brennstoffpreis_WKK</vt:lpstr>
      <vt:lpstr>Eing_Eigenkapital</vt:lpstr>
      <vt:lpstr>Eing_Erstauszahlung_jährlFörderung_1</vt:lpstr>
      <vt:lpstr>Eing_Erstauszahlung_jährlFörderung_2</vt:lpstr>
      <vt:lpstr>Eing_Förderung_wiederholend_Laufzeit</vt:lpstr>
      <vt:lpstr>Eing_Förderung_wiederholend_Laufzeit_1</vt:lpstr>
      <vt:lpstr>Eing_Förderung_wiederholend_Laufzeit_2</vt:lpstr>
      <vt:lpstr>Eing_Invest_AWN</vt:lpstr>
      <vt:lpstr>Eing_Invest_Grundstück</vt:lpstr>
      <vt:lpstr>Eing_Invest_Hausstationen</vt:lpstr>
      <vt:lpstr>Eing_Invest_HolzAnlage</vt:lpstr>
      <vt:lpstr>Eing_Invest_Installationen</vt:lpstr>
      <vt:lpstr>Eing_Invest_Messung</vt:lpstr>
      <vt:lpstr>Eing_Invest_SondenGrundwasser</vt:lpstr>
      <vt:lpstr>Eing_Invest_Spitzenlast</vt:lpstr>
      <vt:lpstr>Eing_Invest_Wärmenetz</vt:lpstr>
      <vt:lpstr>Eing_Invest_WKKAnlage</vt:lpstr>
      <vt:lpstr>Eing_Invest_WPAnlage</vt:lpstr>
      <vt:lpstr>Eing_Invest_Zusatz</vt:lpstr>
      <vt:lpstr>Eing_JahrBegWLief</vt:lpstr>
      <vt:lpstr>Eing_Jahresnutzungsgrad_Kessel</vt:lpstr>
      <vt:lpstr>Eing_Jahresnutzungsgrad_WKKel</vt:lpstr>
      <vt:lpstr>Eing_Jahresnutzungsgrad_WKKtherm</vt:lpstr>
      <vt:lpstr>Eing_Jahresnutzungsgrad_Zusatz</vt:lpstr>
      <vt:lpstr>Eing_jährlicher_Förderbeitrag_1</vt:lpstr>
      <vt:lpstr>Eing_jährlicher_Förderbeitrag_2</vt:lpstr>
      <vt:lpstr>Eing_JAZ_WP</vt:lpstr>
      <vt:lpstr>Eing_Kosten_Bau</vt:lpstr>
      <vt:lpstr>Eing_Kosten_Grundstück</vt:lpstr>
      <vt:lpstr>Eing_Kosten_Planung_QM</vt:lpstr>
      <vt:lpstr>Eing_Kredit_1</vt:lpstr>
      <vt:lpstr>Eing_Kredit_2</vt:lpstr>
      <vt:lpstr>Eing_Kreditlaufzeit_1</vt:lpstr>
      <vt:lpstr>Eing_Kreditlaufzeit_2</vt:lpstr>
      <vt:lpstr>Eing_Kreditstartjahr_1</vt:lpstr>
      <vt:lpstr>Eing_Kreditstartjahr_2</vt:lpstr>
      <vt:lpstr>Eing_Kreditzinssatz_1</vt:lpstr>
      <vt:lpstr>Eing_Kreditzinssatz_2</vt:lpstr>
      <vt:lpstr>Eing_Leistungspreis1</vt:lpstr>
      <vt:lpstr>Eing_Leistungspreis2</vt:lpstr>
      <vt:lpstr>Eing_Leistungspreis3</vt:lpstr>
      <vt:lpstr>Eing_Leistungspreis4</vt:lpstr>
      <vt:lpstr>Eing_Leistungspreis5</vt:lpstr>
      <vt:lpstr>Eing_Leistungspreis6</vt:lpstr>
      <vt:lpstr>Eing_Netzverluste</vt:lpstr>
      <vt:lpstr>Eing_Nominalzins</vt:lpstr>
      <vt:lpstr>Eing_Nutzungsdauer_AWN</vt:lpstr>
      <vt:lpstr>Eing_Nutzungsdauer_Bau</vt:lpstr>
      <vt:lpstr>Eing_Nutzungsdauer_Hausstationen</vt:lpstr>
      <vt:lpstr>Eing_Nutzungsdauer_Holz</vt:lpstr>
      <vt:lpstr>Eing_Nutzungsdauer_Installationen</vt:lpstr>
      <vt:lpstr>Eing_Nutzungsdauer_Messung</vt:lpstr>
      <vt:lpstr>Eing_Nutzungsdauer_Netz</vt:lpstr>
      <vt:lpstr>Eing_Nutzungsdauer_Planung</vt:lpstr>
      <vt:lpstr>Eing_Nutzungsdauer_SondenGW</vt:lpstr>
      <vt:lpstr>Eing_Nutzungsdauer_Spitzenlast</vt:lpstr>
      <vt:lpstr>Eing_Nutzungsdauer_WKK</vt:lpstr>
      <vt:lpstr>Eing_Nutzungsdauer_WP</vt:lpstr>
      <vt:lpstr>Eing_Nutzungsdauer_Zusatz</vt:lpstr>
      <vt:lpstr>Eing_Preis_AWN</vt:lpstr>
      <vt:lpstr>Eing_Preis_Zusatz</vt:lpstr>
      <vt:lpstr>Eing_Prod_Pflanzenkohle</vt:lpstr>
      <vt:lpstr>Eing_Realzins</vt:lpstr>
      <vt:lpstr>Eing_Rohstoffpreis_Biomasse</vt:lpstr>
      <vt:lpstr>Eing_Rohstoffpreis_fossil</vt:lpstr>
      <vt:lpstr>Eing_Sonstige_Kosten</vt:lpstr>
      <vt:lpstr>Eing_Spez_Stromverbrauch</vt:lpstr>
      <vt:lpstr>Eing_spezUnterhalt_AWN</vt:lpstr>
      <vt:lpstr>Eing_spezUnterhalt_Bau</vt:lpstr>
      <vt:lpstr>Eing_spezUnterhalt_Hausstationen</vt:lpstr>
      <vt:lpstr>Eing_spezUnterhalt_Holz</vt:lpstr>
      <vt:lpstr>Eing_spezUnterhalt_Installationen</vt:lpstr>
      <vt:lpstr>Eing_spezUnterhalt_Messung</vt:lpstr>
      <vt:lpstr>Eing_spezUnterhalt_Netz</vt:lpstr>
      <vt:lpstr>Eing_spezUnterhalt_Planung</vt:lpstr>
      <vt:lpstr>Eing_spezUnterhalt_SondenGW</vt:lpstr>
      <vt:lpstr>Eing_spezUnterhalt_Spitzenlast</vt:lpstr>
      <vt:lpstr>Eing_spezUnterhalt_WKK</vt:lpstr>
      <vt:lpstr>Eing_spezUnterhalt_WP</vt:lpstr>
      <vt:lpstr>Eing_spezUnterhalt_Zusatz</vt:lpstr>
      <vt:lpstr>Eing_StartAmortisation_Kredit1</vt:lpstr>
      <vt:lpstr>Eing_StartAmortisation_Kredit2</vt:lpstr>
      <vt:lpstr>Eing_Strompreis</vt:lpstr>
      <vt:lpstr>Eing_Strompreis_Einspeisung</vt:lpstr>
      <vt:lpstr>Eing_Strompreis_WP</vt:lpstr>
      <vt:lpstr>Eing_Unterhaltskosten</vt:lpstr>
      <vt:lpstr>Eing_Verkaufspreis_Pflanzenkohle</vt:lpstr>
      <vt:lpstr>Eing_verkaufteWM</vt:lpstr>
      <vt:lpstr>Eing_Vertragslaufzeit1</vt:lpstr>
      <vt:lpstr>Eing_Vertragslaufzeit2</vt:lpstr>
      <vt:lpstr>Eing_Vertragslaufzeit3</vt:lpstr>
      <vt:lpstr>Eing_Vertragslaufzeit4</vt:lpstr>
      <vt:lpstr>Eing_Vertragslaufzeit5</vt:lpstr>
      <vt:lpstr>Eing_Vertragslaufzeit6</vt:lpstr>
      <vt:lpstr>Einmaliger_Förderbeitrag_1</vt:lpstr>
      <vt:lpstr>Einmaliger_Förderbeitrag_2</vt:lpstr>
      <vt:lpstr>Einmaliger_Förderbeitrag_3</vt:lpstr>
      <vt:lpstr>Endenergie_fossil</vt:lpstr>
      <vt:lpstr>Endenergie_Zusatz</vt:lpstr>
      <vt:lpstr>Energiekosten_AWN</vt:lpstr>
      <vt:lpstr>Energiekosten_fossil</vt:lpstr>
      <vt:lpstr>Energiekosten_Holzschnitzel</vt:lpstr>
      <vt:lpstr>Energiekosten_WKK</vt:lpstr>
      <vt:lpstr>Energiekosten_Zusatz</vt:lpstr>
      <vt:lpstr>EnergiekostenTotal</vt:lpstr>
      <vt:lpstr>'A2_Compte de résultat prévision'!Erg_Wärmepreis</vt:lpstr>
      <vt:lpstr>Erg_Wärmepreis</vt:lpstr>
      <vt:lpstr>Ergebnisblatt_Projekttitel</vt:lpstr>
      <vt:lpstr>Erstauszahlung_jährlFörderung</vt:lpstr>
      <vt:lpstr>Ertrag_Pflanzenkohle</vt:lpstr>
      <vt:lpstr>Ertrag_Strom_Pflanzenkohle</vt:lpstr>
      <vt:lpstr>Ertrag_Stromeinspeisung</vt:lpstr>
      <vt:lpstr>Förderung_kapitalisiert</vt:lpstr>
      <vt:lpstr>Förderungsauszahlung_1</vt:lpstr>
      <vt:lpstr>Förderungsauszahlung_2</vt:lpstr>
      <vt:lpstr>Förderungsauszahlung_3</vt:lpstr>
      <vt:lpstr>Gesamte_Investitionskosten</vt:lpstr>
      <vt:lpstr>Gesamtinvestition</vt:lpstr>
      <vt:lpstr>Gesamtsumme_Förderung</vt:lpstr>
      <vt:lpstr>Gewbl_Wärmemenge</vt:lpstr>
      <vt:lpstr>Grundpreis</vt:lpstr>
      <vt:lpstr>I1_100</vt:lpstr>
      <vt:lpstr>I1_101</vt:lpstr>
      <vt:lpstr>I1_101a</vt:lpstr>
      <vt:lpstr>I1_101b</vt:lpstr>
      <vt:lpstr>I1_101c</vt:lpstr>
      <vt:lpstr>I1_101d</vt:lpstr>
      <vt:lpstr>I1_101e</vt:lpstr>
      <vt:lpstr>I1_101k</vt:lpstr>
      <vt:lpstr>I1_105</vt:lpstr>
      <vt:lpstr>I1_106</vt:lpstr>
      <vt:lpstr>I1_107</vt:lpstr>
      <vt:lpstr>I1_108</vt:lpstr>
      <vt:lpstr>I1_110</vt:lpstr>
      <vt:lpstr>I1_110a</vt:lpstr>
      <vt:lpstr>I1_110b</vt:lpstr>
      <vt:lpstr>i1_110c</vt:lpstr>
      <vt:lpstr>I1_110g</vt:lpstr>
      <vt:lpstr>I1_110h</vt:lpstr>
      <vt:lpstr>I1_115</vt:lpstr>
      <vt:lpstr>I1_115a</vt:lpstr>
      <vt:lpstr>I1_115b</vt:lpstr>
      <vt:lpstr>I1_115c</vt:lpstr>
      <vt:lpstr>I1_115d</vt:lpstr>
      <vt:lpstr>I1_115e</vt:lpstr>
      <vt:lpstr>I1_115f</vt:lpstr>
      <vt:lpstr>I1_115g</vt:lpstr>
      <vt:lpstr>I1_115l</vt:lpstr>
      <vt:lpstr>I1_115m</vt:lpstr>
      <vt:lpstr>I1_115n</vt:lpstr>
      <vt:lpstr>I1_115o</vt:lpstr>
      <vt:lpstr>I1_115q</vt:lpstr>
      <vt:lpstr>I1_115u</vt:lpstr>
      <vt:lpstr>I1_115v</vt:lpstr>
      <vt:lpstr>I1_115w</vt:lpstr>
      <vt:lpstr>I1_115x</vt:lpstr>
      <vt:lpstr>I1_120</vt:lpstr>
      <vt:lpstr>I1_120a</vt:lpstr>
      <vt:lpstr>I1_120c</vt:lpstr>
      <vt:lpstr>I1_120d</vt:lpstr>
      <vt:lpstr>I1_120e</vt:lpstr>
      <vt:lpstr>I1_120f</vt:lpstr>
      <vt:lpstr>I1_120g</vt:lpstr>
      <vt:lpstr>I1_120j</vt:lpstr>
      <vt:lpstr>I1_120m</vt:lpstr>
      <vt:lpstr>I1_120n</vt:lpstr>
      <vt:lpstr>I1_125</vt:lpstr>
      <vt:lpstr>I1_125a</vt:lpstr>
      <vt:lpstr>I1_125b</vt:lpstr>
      <vt:lpstr>I1_125c</vt:lpstr>
      <vt:lpstr>I1_125g</vt:lpstr>
      <vt:lpstr>I1_125h</vt:lpstr>
      <vt:lpstr>I1_125m</vt:lpstr>
      <vt:lpstr>I1_125n</vt:lpstr>
      <vt:lpstr>I1_125o</vt:lpstr>
      <vt:lpstr>I1_140</vt:lpstr>
      <vt:lpstr>I1_141</vt:lpstr>
      <vt:lpstr>I1_142</vt:lpstr>
      <vt:lpstr>I1_143</vt:lpstr>
      <vt:lpstr>I1_145</vt:lpstr>
      <vt:lpstr>I1_145a</vt:lpstr>
      <vt:lpstr>I1_145b</vt:lpstr>
      <vt:lpstr>I1_145c</vt:lpstr>
      <vt:lpstr>I1_145d</vt:lpstr>
      <vt:lpstr>I1_145e</vt:lpstr>
      <vt:lpstr>I1_145f</vt:lpstr>
      <vt:lpstr>I1_145g</vt:lpstr>
      <vt:lpstr>I1_145h</vt:lpstr>
      <vt:lpstr>I1_145i</vt:lpstr>
      <vt:lpstr>I1_145j</vt:lpstr>
      <vt:lpstr>I1_145k</vt:lpstr>
      <vt:lpstr>I1_145l</vt:lpstr>
      <vt:lpstr>I1_145m</vt:lpstr>
      <vt:lpstr>I1_145z</vt:lpstr>
      <vt:lpstr>I1_150</vt:lpstr>
      <vt:lpstr>I1_150a</vt:lpstr>
      <vt:lpstr>I1_150b</vt:lpstr>
      <vt:lpstr>I1_151</vt:lpstr>
      <vt:lpstr>I1_155</vt:lpstr>
      <vt:lpstr>I1_156</vt:lpstr>
      <vt:lpstr>I1_160</vt:lpstr>
      <vt:lpstr>I1_160a</vt:lpstr>
      <vt:lpstr>I1_160b</vt:lpstr>
      <vt:lpstr>I1_160c</vt:lpstr>
      <vt:lpstr>I1_160d</vt:lpstr>
      <vt:lpstr>I1_160e</vt:lpstr>
      <vt:lpstr>I1_165</vt:lpstr>
      <vt:lpstr>I1_166</vt:lpstr>
      <vt:lpstr>I1_166a</vt:lpstr>
      <vt:lpstr>I1_166b</vt:lpstr>
      <vt:lpstr>I1_167</vt:lpstr>
      <vt:lpstr>I1_167a</vt:lpstr>
      <vt:lpstr>I1_167b</vt:lpstr>
      <vt:lpstr>I1_167c</vt:lpstr>
      <vt:lpstr>I1_170</vt:lpstr>
      <vt:lpstr>I1_170a</vt:lpstr>
      <vt:lpstr>I1_170b</vt:lpstr>
      <vt:lpstr>I1_170c</vt:lpstr>
      <vt:lpstr>I1_170d</vt:lpstr>
      <vt:lpstr>I1_170e</vt:lpstr>
      <vt:lpstr>I1_170f</vt:lpstr>
      <vt:lpstr>I1_170g</vt:lpstr>
      <vt:lpstr>I1_170h</vt:lpstr>
      <vt:lpstr>I1_170i</vt:lpstr>
      <vt:lpstr>I1_170j</vt:lpstr>
      <vt:lpstr>I1_170k</vt:lpstr>
      <vt:lpstr>I1_170l</vt:lpstr>
      <vt:lpstr>I1_170m</vt:lpstr>
      <vt:lpstr>I1_170n</vt:lpstr>
      <vt:lpstr>I1_175</vt:lpstr>
      <vt:lpstr>I1_175a</vt:lpstr>
      <vt:lpstr>I1_175b</vt:lpstr>
      <vt:lpstr>I1_175c</vt:lpstr>
      <vt:lpstr>I1_175d</vt:lpstr>
      <vt:lpstr>I1_175e</vt:lpstr>
      <vt:lpstr>I1_175f</vt:lpstr>
      <vt:lpstr>I1_175h</vt:lpstr>
      <vt:lpstr>I1_177</vt:lpstr>
      <vt:lpstr>I1_177a</vt:lpstr>
      <vt:lpstr>I1_177b</vt:lpstr>
      <vt:lpstr>I1_179</vt:lpstr>
      <vt:lpstr>I1_190</vt:lpstr>
      <vt:lpstr>I1_190a</vt:lpstr>
      <vt:lpstr>I1_190b</vt:lpstr>
      <vt:lpstr>I1_190c</vt:lpstr>
      <vt:lpstr>I1_190d</vt:lpstr>
      <vt:lpstr>I1_190e</vt:lpstr>
      <vt:lpstr>I1_190f</vt:lpstr>
      <vt:lpstr>I1_190g</vt:lpstr>
      <vt:lpstr>I1_190h</vt:lpstr>
      <vt:lpstr>I1_190i</vt:lpstr>
      <vt:lpstr>I1_200</vt:lpstr>
      <vt:lpstr>I1_206</vt:lpstr>
      <vt:lpstr>I1_207</vt:lpstr>
      <vt:lpstr>I1_21?a</vt:lpstr>
      <vt:lpstr>I1_21?b</vt:lpstr>
      <vt:lpstr>I1_21?c</vt:lpstr>
      <vt:lpstr>I1_210</vt:lpstr>
      <vt:lpstr>I1_211ff</vt:lpstr>
      <vt:lpstr>I1_300</vt:lpstr>
      <vt:lpstr>I1_310</vt:lpstr>
      <vt:lpstr>I1_311</vt:lpstr>
      <vt:lpstr>I1_312</vt:lpstr>
      <vt:lpstr>I1_320</vt:lpstr>
      <vt:lpstr>I1_321</vt:lpstr>
      <vt:lpstr>I1_322</vt:lpstr>
      <vt:lpstr>I1_323</vt:lpstr>
      <vt:lpstr>I1_324</vt:lpstr>
      <vt:lpstr>I1_325</vt:lpstr>
      <vt:lpstr>I1_326</vt:lpstr>
      <vt:lpstr>I1_330</vt:lpstr>
      <vt:lpstr>I1_331</vt:lpstr>
      <vt:lpstr>I1_332</vt:lpstr>
      <vt:lpstr>I1_333</vt:lpstr>
      <vt:lpstr>I1_334</vt:lpstr>
      <vt:lpstr>I1_335</vt:lpstr>
      <vt:lpstr>I1_500</vt:lpstr>
      <vt:lpstr>I1_501</vt:lpstr>
      <vt:lpstr>I1_505</vt:lpstr>
      <vt:lpstr>I1_506</vt:lpstr>
      <vt:lpstr>I1_510</vt:lpstr>
      <vt:lpstr>I1_510a</vt:lpstr>
      <vt:lpstr>I1_510b</vt:lpstr>
      <vt:lpstr>I1_510c</vt:lpstr>
      <vt:lpstr>I1_510d</vt:lpstr>
      <vt:lpstr>I1_510e</vt:lpstr>
      <vt:lpstr>I1_510f</vt:lpstr>
      <vt:lpstr>I1_510g</vt:lpstr>
      <vt:lpstr>I1_510h</vt:lpstr>
      <vt:lpstr>I1_510i</vt:lpstr>
      <vt:lpstr>I1_510j</vt:lpstr>
      <vt:lpstr>I1_510k</vt:lpstr>
      <vt:lpstr>I1_510l</vt:lpstr>
      <vt:lpstr>I1_510q</vt:lpstr>
      <vt:lpstr>I1_510r</vt:lpstr>
      <vt:lpstr>I1_510w</vt:lpstr>
      <vt:lpstr>I1_511</vt:lpstr>
      <vt:lpstr>I1_530</vt:lpstr>
      <vt:lpstr>I1_531</vt:lpstr>
      <vt:lpstr>I1_532</vt:lpstr>
      <vt:lpstr>I1_533</vt:lpstr>
      <vt:lpstr>I1_541</vt:lpstr>
      <vt:lpstr>I1_542</vt:lpstr>
      <vt:lpstr>I1_543</vt:lpstr>
      <vt:lpstr>I1_544</vt:lpstr>
      <vt:lpstr>I1_551</vt:lpstr>
      <vt:lpstr>I1_552</vt:lpstr>
      <vt:lpstr>I1_555</vt:lpstr>
      <vt:lpstr>I1_561</vt:lpstr>
      <vt:lpstr>I1_562</vt:lpstr>
      <vt:lpstr>I1_563</vt:lpstr>
      <vt:lpstr>I1_564</vt:lpstr>
      <vt:lpstr>I1_566</vt:lpstr>
      <vt:lpstr>I1_567</vt:lpstr>
      <vt:lpstr>I1_569</vt:lpstr>
      <vt:lpstr>I1_571a</vt:lpstr>
      <vt:lpstr>I1_571b</vt:lpstr>
      <vt:lpstr>I1_571c</vt:lpstr>
      <vt:lpstr>I1_571d</vt:lpstr>
      <vt:lpstr>I1_571e</vt:lpstr>
      <vt:lpstr>I1_572a</vt:lpstr>
      <vt:lpstr>I1_572b</vt:lpstr>
      <vt:lpstr>I1_574a</vt:lpstr>
      <vt:lpstr>I1_574b</vt:lpstr>
      <vt:lpstr>I1_575</vt:lpstr>
      <vt:lpstr>I1_576</vt:lpstr>
      <vt:lpstr>I1_577</vt:lpstr>
      <vt:lpstr>I1_578</vt:lpstr>
      <vt:lpstr>I1_579</vt:lpstr>
      <vt:lpstr>I1_580</vt:lpstr>
      <vt:lpstr>I1_581</vt:lpstr>
      <vt:lpstr>I1_582</vt:lpstr>
      <vt:lpstr>I1_585</vt:lpstr>
      <vt:lpstr>I1_588</vt:lpstr>
      <vt:lpstr>I1_589</vt:lpstr>
      <vt:lpstr>I1_591</vt:lpstr>
      <vt:lpstr>I1_592</vt:lpstr>
      <vt:lpstr>I1_599</vt:lpstr>
      <vt:lpstr>I1_600</vt:lpstr>
      <vt:lpstr>I1_610</vt:lpstr>
      <vt:lpstr>I1_612</vt:lpstr>
      <vt:lpstr>I1_613</vt:lpstr>
      <vt:lpstr>I1_615</vt:lpstr>
      <vt:lpstr>I1_620</vt:lpstr>
      <vt:lpstr>I1_621</vt:lpstr>
      <vt:lpstr>I1_622</vt:lpstr>
      <vt:lpstr>I1_623</vt:lpstr>
      <vt:lpstr>I1_624</vt:lpstr>
      <vt:lpstr>I1_625</vt:lpstr>
      <vt:lpstr>I1_626</vt:lpstr>
      <vt:lpstr>I1_627</vt:lpstr>
      <vt:lpstr>I1_650</vt:lpstr>
      <vt:lpstr>I1_655</vt:lpstr>
      <vt:lpstr>I1_690</vt:lpstr>
      <vt:lpstr>I1_700</vt:lpstr>
      <vt:lpstr>I1_710</vt:lpstr>
      <vt:lpstr>I1_711</vt:lpstr>
      <vt:lpstr>I1_712</vt:lpstr>
      <vt:lpstr>I1_713</vt:lpstr>
      <vt:lpstr>I1_714</vt:lpstr>
      <vt:lpstr>I1_715</vt:lpstr>
      <vt:lpstr>I1_716</vt:lpstr>
      <vt:lpstr>I1_900</vt:lpstr>
      <vt:lpstr>I1_910</vt:lpstr>
      <vt:lpstr>I1_911</vt:lpstr>
      <vt:lpstr>I1_912</vt:lpstr>
      <vt:lpstr>I1_920</vt:lpstr>
      <vt:lpstr>I1_921</vt:lpstr>
      <vt:lpstr>I1_922</vt:lpstr>
      <vt:lpstr>I1_923</vt:lpstr>
      <vt:lpstr>I1_924</vt:lpstr>
      <vt:lpstr>I1_925</vt:lpstr>
      <vt:lpstr>I1_926</vt:lpstr>
      <vt:lpstr>I1_927</vt:lpstr>
      <vt:lpstr>I1_928</vt:lpstr>
      <vt:lpstr>I1_929</vt:lpstr>
      <vt:lpstr>I1_930</vt:lpstr>
      <vt:lpstr>Jahr_Etappe_1</vt:lpstr>
      <vt:lpstr>Jahr_Etappe_2</vt:lpstr>
      <vt:lpstr>Jahr_Etappe_3</vt:lpstr>
      <vt:lpstr>Jahr_Etappe_4</vt:lpstr>
      <vt:lpstr>Jahr_Etappe_5</vt:lpstr>
      <vt:lpstr>Jahreskosten</vt:lpstr>
      <vt:lpstr>Jahreskosten_inklFörderung</vt:lpstr>
      <vt:lpstr>jährlicher_Förderbeitrag</vt:lpstr>
      <vt:lpstr>Kapitalkosten_Wärmeerzeugung</vt:lpstr>
      <vt:lpstr>Kapitalkosten_Wärmeverteilung</vt:lpstr>
      <vt:lpstr>max_verkaufteWM</vt:lpstr>
      <vt:lpstr>mittl_Erzeugte_Wärmemenge</vt:lpstr>
      <vt:lpstr>Netzbezug_Hilfsenergie</vt:lpstr>
      <vt:lpstr>Netzbezug_WP</vt:lpstr>
      <vt:lpstr>Nutzwärme_AWN</vt:lpstr>
      <vt:lpstr>Nutzwärme_Biomasse</vt:lpstr>
      <vt:lpstr>Nutzwärme_Kondensation</vt:lpstr>
      <vt:lpstr>Nutzwärme_WP</vt:lpstr>
      <vt:lpstr>Produktion_Pflanzenkohle</vt:lpstr>
      <vt:lpstr>Realzins</vt:lpstr>
      <vt:lpstr>Stromeinspeisung_Netz</vt:lpstr>
      <vt:lpstr>Stromkosten_Hilfsenergie</vt:lpstr>
      <vt:lpstr>Stromkosten_WP</vt:lpstr>
      <vt:lpstr>Stromproduktion_WKK</vt:lpstr>
      <vt:lpstr>Stromverbrauch</vt:lpstr>
      <vt:lpstr>Summe_einmalige_Anschlusskosten</vt:lpstr>
      <vt:lpstr>Wärme_WKK</vt:lpstr>
      <vt:lpstr>Wärmegestehungskosten_Energie</vt:lpstr>
      <vt:lpstr>Wärmegestehungskosten_Ertrag</vt:lpstr>
      <vt:lpstr>Wärmegestehungskosten_Förderung</vt:lpstr>
      <vt:lpstr>Wärmegestehungskosten_inklFörderung</vt:lpstr>
      <vt:lpstr>Wärmegestehungskosten_Kapital_Erzeugung</vt:lpstr>
      <vt:lpstr>Wärmegestehungskosten_Kapital_Verteilung</vt:lpstr>
      <vt:lpstr>Wärmegestehungskosten_Total</vt:lpstr>
      <vt:lpstr>Wärmegestehungskosten_WUErzeugung</vt:lpstr>
      <vt:lpstr>Wärmegestehungskosten_WUVerteilung</vt:lpstr>
      <vt:lpstr>'A2_Compte de résultat prévision'!Wärmepreis</vt:lpstr>
      <vt:lpstr>Wärmepreis</vt:lpstr>
      <vt:lpstr>WartungUnterhalt_Wärmeerzeugung</vt:lpstr>
      <vt:lpstr>WartungUnterhalt_Wärmeverteilung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QMH-Wirtschaftlichkeitsrechnung_V6</dc:title>
  <dc:subject/>
  <dc:creator>Patrik Küttel</dc:creator>
  <cp:keywords/>
  <dc:description/>
  <cp:lastModifiedBy>Patrik Küttel</cp:lastModifiedBy>
  <cp:revision/>
  <cp:lastPrinted>2025-09-01T07:53:33Z</cp:lastPrinted>
  <dcterms:created xsi:type="dcterms:W3CDTF">2008-04-08T07:16:33Z</dcterms:created>
  <dcterms:modified xsi:type="dcterms:W3CDTF">2025-12-08T14:01:56Z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0x0101006959F612D9DB294793DE07DB3E7EB7E8</vt:lpwstr>
  </property>
  <property fmtid="{D5CDD505-2E9C-101B-9397-08002B2CF9AE}" pid="3" name="MediaServiceImageTags">
    <vt:lpwstr/>
  </property>
</Properties>
</file>